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user\Schoeps\MW-Vorlesung\WS 23-24\2. Vorlesung\"/>
    </mc:Choice>
  </mc:AlternateContent>
  <xr:revisionPtr revIDLastSave="0" documentId="13_ncr:1_{3CA57074-47B8-4F3E-A966-8BD671DB4B2A}" xr6:coauthVersionLast="47" xr6:coauthVersionMax="47" xr10:uidLastSave="{00000000-0000-0000-0000-000000000000}"/>
  <bookViews>
    <workbookView xWindow="38290" yWindow="-110" windowWidth="38620" windowHeight="21100" tabRatio="789" activeTab="2" xr2:uid="{00000000-000D-0000-FFFF-FFFF00000000}"/>
  </bookViews>
  <sheets>
    <sheet name="Turmbau DD" sheetId="28" r:id="rId1"/>
    <sheet name="Schnittkräfte S1" sheetId="1" r:id="rId2"/>
    <sheet name="Vereinfachtes Verfahren S6" sheetId="2" r:id="rId3"/>
    <sheet name="Genaues Verfahren S6" sheetId="17" r:id="rId4"/>
    <sheet name="Ausfachungsfläche" sheetId="14" r:id="rId5"/>
    <sheet name="Kellerwand" sheetId="7" r:id="rId6"/>
    <sheet name="Kellerwand 2" sheetId="15" r:id="rId7"/>
    <sheet name="Kellerwand 3" sheetId="16" r:id="rId8"/>
    <sheet name="bew. BW EC6" sheetId="18" r:id="rId9"/>
    <sheet name="R. Steifigkeit" sheetId="19" r:id="rId10"/>
    <sheet name="Aussteifungswand" sheetId="20" r:id="rId11"/>
    <sheet name="Teilfläche" sheetId="21" r:id="rId12"/>
    <sheet name="Bogen+Flachsturz" sheetId="22" r:id="rId13"/>
    <sheet name="Zugdehnung" sheetId="23" r:id="rId14"/>
    <sheet name="Viadukt" sheetId="27" r:id="rId15"/>
  </sheets>
  <externalReferences>
    <externalReference r:id="rId16"/>
  </externalReferences>
  <definedNames>
    <definedName name="_xlnm.Print_Area" localSheetId="10">Aussteifungswand!$A$1:$I$81</definedName>
    <definedName name="_xlnm.Print_Area" localSheetId="3">'Genaues Verfahren S6'!$A$1:$I$72</definedName>
    <definedName name="_xlnm.Print_Area" localSheetId="5">Kellerwand!$A$1:$J$56</definedName>
    <definedName name="_xlnm.Print_Area" localSheetId="6">'Kellerwand 2'!$A$1:$J$78</definedName>
    <definedName name="LK" localSheetId="0">#REF!</definedName>
    <definedName name="LK" localSheetId="14">Viadukt!$D$13</definedName>
    <definedName name="LK" localSheetId="13">#REF!</definedName>
    <definedName name="LK">#REF!</definedName>
    <definedName name="LS" localSheetId="0">#REF!</definedName>
    <definedName name="LS" localSheetId="14">Viadukt!$D$5</definedName>
    <definedName name="LS" localSheetId="13">#REF!</definedName>
    <definedName name="LS">#REF!</definedName>
  </definedNames>
  <calcPr calcId="191029"/>
</workbook>
</file>

<file path=xl/calcChain.xml><?xml version="1.0" encoding="utf-8"?>
<calcChain xmlns="http://schemas.openxmlformats.org/spreadsheetml/2006/main">
  <c r="D35" i="1" l="1"/>
  <c r="D13" i="1"/>
  <c r="D18" i="14"/>
  <c r="L22" i="28"/>
  <c r="K22" i="28"/>
  <c r="G22" i="28"/>
  <c r="F22" i="28"/>
  <c r="E22" i="28"/>
  <c r="L19" i="28"/>
  <c r="K19" i="28"/>
  <c r="J19" i="28"/>
  <c r="J22" i="28" s="1"/>
  <c r="I19" i="28"/>
  <c r="I22" i="28" s="1"/>
  <c r="H19" i="28"/>
  <c r="H22" i="28" s="1"/>
  <c r="G19" i="28"/>
  <c r="F19" i="28"/>
  <c r="E19" i="28"/>
  <c r="D19" i="28"/>
  <c r="D22" i="28" s="1"/>
  <c r="G14" i="28"/>
  <c r="F14" i="28"/>
  <c r="G9" i="28"/>
  <c r="F9" i="28"/>
  <c r="E9" i="28"/>
  <c r="E14" i="28" s="1"/>
  <c r="D9" i="28"/>
  <c r="D14" i="28" s="1"/>
  <c r="D6" i="27" l="1"/>
  <c r="D7" i="27" s="1"/>
  <c r="D18" i="27"/>
  <c r="D19" i="27"/>
  <c r="E19" i="27" s="1"/>
  <c r="M19" i="27" s="1"/>
  <c r="D20" i="27"/>
  <c r="E20" i="27" s="1"/>
  <c r="E24" i="27" s="1"/>
  <c r="F23" i="27"/>
  <c r="F32" i="27" s="1"/>
  <c r="G23" i="27"/>
  <c r="G31" i="27" s="1"/>
  <c r="H23" i="27"/>
  <c r="H31" i="27" s="1"/>
  <c r="H20" i="27" s="1"/>
  <c r="I23" i="27"/>
  <c r="I31" i="27" s="1"/>
  <c r="J23" i="27"/>
  <c r="J32" i="27" s="1"/>
  <c r="K23" i="27"/>
  <c r="K31" i="27" s="1"/>
  <c r="L23" i="27"/>
  <c r="L31" i="27" s="1"/>
  <c r="M23" i="27"/>
  <c r="M32" i="27" s="1"/>
  <c r="F31" i="27"/>
  <c r="J31" i="27"/>
  <c r="J20" i="27" s="1"/>
  <c r="M31" i="27"/>
  <c r="E32" i="27"/>
  <c r="I32" i="27"/>
  <c r="L32" i="27"/>
  <c r="E40" i="27"/>
  <c r="F40" i="27"/>
  <c r="F41" i="27" s="1"/>
  <c r="G40" i="27"/>
  <c r="G42" i="27" s="1"/>
  <c r="H40" i="27"/>
  <c r="H41" i="27" s="1"/>
  <c r="I40" i="27"/>
  <c r="I41" i="27" s="1"/>
  <c r="J40" i="27"/>
  <c r="J41" i="27" s="1"/>
  <c r="K40" i="27"/>
  <c r="K42" i="27" s="1"/>
  <c r="L40" i="27"/>
  <c r="L42" i="27" s="1"/>
  <c r="M40" i="27"/>
  <c r="N40" i="27"/>
  <c r="N41" i="27" s="1"/>
  <c r="O40" i="27"/>
  <c r="O42" i="27" s="1"/>
  <c r="E41" i="27"/>
  <c r="M41" i="27"/>
  <c r="E42" i="27"/>
  <c r="F42" i="27"/>
  <c r="I42" i="27"/>
  <c r="J42" i="27"/>
  <c r="M42" i="27"/>
  <c r="N42" i="27"/>
  <c r="M20" i="27" l="1"/>
  <c r="M24" i="27" s="1"/>
  <c r="K20" i="27"/>
  <c r="H32" i="27"/>
  <c r="G20" i="27"/>
  <c r="I20" i="27"/>
  <c r="L20" i="27"/>
  <c r="F20" i="27"/>
  <c r="H42" i="27"/>
  <c r="G41" i="27"/>
  <c r="K32" i="27"/>
  <c r="G32" i="27"/>
  <c r="L41" i="27"/>
  <c r="O41" i="27"/>
  <c r="K41" i="27"/>
  <c r="F19" i="27"/>
  <c r="G19" i="27" s="1"/>
  <c r="H19" i="27" s="1"/>
  <c r="I19" i="27" s="1"/>
  <c r="J19" i="27" s="1"/>
  <c r="K19" i="27" s="1"/>
  <c r="L19" i="27" s="1"/>
  <c r="L24" i="27" l="1"/>
  <c r="H24" i="27"/>
  <c r="K24" i="27"/>
  <c r="I24" i="27"/>
  <c r="F24" i="27"/>
  <c r="G24" i="27"/>
  <c r="J24" i="27"/>
  <c r="E25" i="27" l="1"/>
  <c r="F25" i="27" s="1"/>
  <c r="E26" i="27" l="1"/>
  <c r="F26" i="27" s="1"/>
  <c r="G26" i="27" s="1"/>
  <c r="H26" i="27" s="1"/>
  <c r="I26" i="27" s="1"/>
  <c r="J26" i="27" s="1"/>
  <c r="K26" i="27" s="1"/>
  <c r="L26" i="27" s="1"/>
  <c r="M26" i="27" s="1"/>
  <c r="G25" i="27"/>
  <c r="E27" i="27" l="1"/>
  <c r="F27" i="27"/>
  <c r="F29" i="27"/>
  <c r="E29" i="27"/>
  <c r="F30" i="27" s="1"/>
  <c r="G30" i="27" s="1"/>
  <c r="G27" i="27"/>
  <c r="G29" i="27"/>
  <c r="H25" i="27"/>
  <c r="G33" i="27" l="1"/>
  <c r="G34" i="27" s="1"/>
  <c r="F33" i="27"/>
  <c r="F34" i="27" s="1"/>
  <c r="F35" i="27" s="1"/>
  <c r="H30" i="27"/>
  <c r="I25" i="27"/>
  <c r="H27" i="27"/>
  <c r="H29" i="27"/>
  <c r="H33" i="27" s="1"/>
  <c r="H34" i="27" s="1"/>
  <c r="G35" i="27"/>
  <c r="I30" i="27" l="1"/>
  <c r="H35" i="27"/>
  <c r="J25" i="27"/>
  <c r="I27" i="27"/>
  <c r="I29" i="27"/>
  <c r="I33" i="27" l="1"/>
  <c r="I34" i="27" s="1"/>
  <c r="I35" i="27"/>
  <c r="J29" i="27"/>
  <c r="K25" i="27"/>
  <c r="J27" i="27"/>
  <c r="J30" i="27"/>
  <c r="K30" i="27" l="1"/>
  <c r="K27" i="27"/>
  <c r="K29" i="27"/>
  <c r="L25" i="27"/>
  <c r="J33" i="27"/>
  <c r="J34" i="27" s="1"/>
  <c r="J35" i="27" s="1"/>
  <c r="K33" i="27" l="1"/>
  <c r="K34" i="27" s="1"/>
  <c r="K35" i="27" s="1"/>
  <c r="M25" i="27"/>
  <c r="L27" i="27"/>
  <c r="L29" i="27"/>
  <c r="L30" i="27"/>
  <c r="M30" i="27" l="1"/>
  <c r="L33" i="27"/>
  <c r="L34" i="27" s="1"/>
  <c r="L35" i="27" s="1"/>
  <c r="M29" i="27"/>
  <c r="M33" i="27" s="1"/>
  <c r="M34" i="27" s="1"/>
  <c r="M27" i="27"/>
  <c r="M35" i="27" l="1"/>
  <c r="D7" i="23"/>
  <c r="E7" i="23"/>
  <c r="E8" i="23" s="1"/>
  <c r="F7" i="23"/>
  <c r="F8" i="23" s="1"/>
  <c r="D8" i="23"/>
  <c r="D35" i="22" l="1"/>
  <c r="D36" i="22" s="1"/>
  <c r="D24" i="22"/>
  <c r="D7" i="22"/>
  <c r="D6" i="22"/>
  <c r="D45" i="22"/>
  <c r="D48" i="22" s="1"/>
  <c r="D49" i="22" s="1"/>
  <c r="D53" i="22"/>
  <c r="D10" i="21"/>
  <c r="D17" i="21"/>
  <c r="D18" i="21"/>
  <c r="D29" i="21" s="1"/>
  <c r="D19" i="21"/>
  <c r="D22" i="21"/>
  <c r="D24" i="21"/>
  <c r="D25" i="21" s="1"/>
  <c r="D28" i="21" s="1"/>
  <c r="D31" i="21" l="1"/>
  <c r="D30" i="21"/>
  <c r="G51" i="20" l="1"/>
  <c r="G50" i="20"/>
  <c r="D10" i="20"/>
  <c r="E10" i="20"/>
  <c r="F10" i="20"/>
  <c r="G10" i="20" s="1"/>
  <c r="D12" i="20"/>
  <c r="E12" i="20"/>
  <c r="F12" i="20" s="1"/>
  <c r="G12" i="20" s="1"/>
  <c r="D15" i="20"/>
  <c r="D16" i="20" s="1"/>
  <c r="E21" i="20"/>
  <c r="E24" i="20" s="1"/>
  <c r="F21" i="20"/>
  <c r="G21" i="20" s="1"/>
  <c r="E22" i="20"/>
  <c r="F22" i="20"/>
  <c r="G22" i="20"/>
  <c r="D24" i="20"/>
  <c r="D25" i="20"/>
  <c r="E27" i="20"/>
  <c r="F27" i="20"/>
  <c r="G27" i="20"/>
  <c r="E28" i="20"/>
  <c r="F28" i="20" s="1"/>
  <c r="G28" i="20" s="1"/>
  <c r="E29" i="20"/>
  <c r="F29" i="20" s="1"/>
  <c r="G29" i="20" s="1"/>
  <c r="G31" i="20"/>
  <c r="F31" i="20" s="1"/>
  <c r="E31" i="20" s="1"/>
  <c r="E33" i="20"/>
  <c r="F33" i="20"/>
  <c r="G33" i="20"/>
  <c r="E34" i="20"/>
  <c r="F34" i="20" s="1"/>
  <c r="G34" i="20" s="1"/>
  <c r="E35" i="20"/>
  <c r="F35" i="20"/>
  <c r="G35" i="20" s="1"/>
  <c r="E63" i="20"/>
  <c r="E64" i="20"/>
  <c r="F64" i="20" s="1"/>
  <c r="G64" i="20" s="1"/>
  <c r="E65" i="20"/>
  <c r="F65" i="20" s="1"/>
  <c r="G65" i="20" s="1"/>
  <c r="D8" i="19"/>
  <c r="D10" i="19" s="1"/>
  <c r="E8" i="19"/>
  <c r="F8" i="19"/>
  <c r="G8" i="19"/>
  <c r="D9" i="19"/>
  <c r="E9" i="19"/>
  <c r="F9" i="19"/>
  <c r="G9" i="19"/>
  <c r="D12" i="19"/>
  <c r="D13" i="19" s="1"/>
  <c r="E12" i="19"/>
  <c r="F12" i="19"/>
  <c r="G12" i="19"/>
  <c r="G21" i="19"/>
  <c r="H21" i="19"/>
  <c r="F22" i="19"/>
  <c r="G22" i="19"/>
  <c r="H22" i="19"/>
  <c r="I22" i="19"/>
  <c r="F23" i="19"/>
  <c r="I23" i="19" s="1"/>
  <c r="G23" i="19"/>
  <c r="H23" i="19"/>
  <c r="F24" i="19"/>
  <c r="G24" i="19"/>
  <c r="H24" i="19"/>
  <c r="E25" i="20" l="1"/>
  <c r="F25" i="20" s="1"/>
  <c r="G25" i="20" s="1"/>
  <c r="E13" i="19"/>
  <c r="F13" i="19" s="1"/>
  <c r="G13" i="19" s="1"/>
  <c r="H13" i="19" s="1"/>
  <c r="I21" i="19"/>
  <c r="F26" i="19" s="1"/>
  <c r="F27" i="19" s="1"/>
  <c r="I20" i="19"/>
  <c r="G24" i="20"/>
  <c r="F24" i="20"/>
  <c r="I24" i="19"/>
  <c r="D31" i="20"/>
  <c r="D36" i="20" s="1"/>
  <c r="D37" i="20" s="1"/>
  <c r="D67" i="20"/>
  <c r="D68" i="20" s="1"/>
  <c r="D17" i="20"/>
  <c r="G38" i="20"/>
  <c r="E15" i="20"/>
  <c r="E10" i="19"/>
  <c r="F10" i="19" s="1"/>
  <c r="G10" i="19" s="1"/>
  <c r="H10" i="19" s="1"/>
  <c r="D18" i="20"/>
  <c r="D19" i="20" s="1"/>
  <c r="F63" i="20"/>
  <c r="I15" i="19"/>
  <c r="H26" i="19"/>
  <c r="H27" i="19" s="1"/>
  <c r="G26" i="19"/>
  <c r="G27" i="19" s="1"/>
  <c r="G25" i="19"/>
  <c r="G28" i="19" s="1"/>
  <c r="H25" i="19"/>
  <c r="H28" i="19" s="1"/>
  <c r="I27" i="19" l="1"/>
  <c r="F25" i="19"/>
  <c r="F28" i="19" s="1"/>
  <c r="I28" i="19" s="1"/>
  <c r="E16" i="20"/>
  <c r="E17" i="20" s="1"/>
  <c r="E18" i="20"/>
  <c r="E19" i="20" s="1"/>
  <c r="F15" i="20"/>
  <c r="G63" i="20"/>
  <c r="I30" i="19" l="1"/>
  <c r="G66" i="20"/>
  <c r="F16" i="20"/>
  <c r="F18" i="20"/>
  <c r="F19" i="20" s="1"/>
  <c r="G15" i="20"/>
  <c r="E67" i="20"/>
  <c r="E68" i="20" s="1"/>
  <c r="E36" i="20"/>
  <c r="E37" i="20" s="1"/>
  <c r="F36" i="20" l="1"/>
  <c r="F37" i="20" s="1"/>
  <c r="F67" i="20"/>
  <c r="G16" i="20"/>
  <c r="G18" i="20"/>
  <c r="G19" i="20" s="1"/>
  <c r="F17" i="20"/>
  <c r="F68" i="20"/>
  <c r="G67" i="20" l="1"/>
  <c r="G17" i="20"/>
  <c r="G39" i="20" s="1"/>
  <c r="G36" i="20"/>
  <c r="G37" i="20" s="1"/>
  <c r="G41" i="20" s="1"/>
  <c r="G68" i="20"/>
  <c r="G44" i="20" l="1"/>
  <c r="G45" i="20" s="1"/>
  <c r="G70" i="20"/>
  <c r="G72" i="20" s="1"/>
  <c r="G73" i="20" s="1"/>
  <c r="G75" i="20" s="1"/>
  <c r="G46" i="20" l="1"/>
  <c r="G47" i="20" s="1"/>
  <c r="G53" i="20"/>
  <c r="G54" i="20"/>
  <c r="G55" i="20" l="1"/>
  <c r="G57" i="20" s="1"/>
  <c r="G58" i="20" s="1"/>
  <c r="F14" i="17"/>
  <c r="G68" i="17"/>
  <c r="G67" i="17"/>
  <c r="G24" i="17"/>
  <c r="F24" i="17"/>
  <c r="E24" i="17"/>
  <c r="D24" i="17"/>
  <c r="G22" i="17"/>
  <c r="F22" i="17"/>
  <c r="E22" i="17"/>
  <c r="D22" i="17"/>
  <c r="G20" i="17"/>
  <c r="F20" i="17"/>
  <c r="E20" i="17"/>
  <c r="D20" i="17"/>
  <c r="G14" i="17"/>
  <c r="G58" i="17" s="1"/>
  <c r="E14" i="17"/>
  <c r="D14" i="17"/>
  <c r="G11" i="17"/>
  <c r="G44" i="17" s="1"/>
  <c r="G45" i="17" s="1"/>
  <c r="F11" i="17"/>
  <c r="E11" i="17"/>
  <c r="D11" i="17"/>
  <c r="E8" i="17"/>
  <c r="F8" i="17"/>
  <c r="G8" i="17"/>
  <c r="D8" i="17"/>
  <c r="E7" i="17"/>
  <c r="F7" i="17"/>
  <c r="G7" i="17"/>
  <c r="D7" i="17"/>
  <c r="E6" i="17"/>
  <c r="F6" i="17"/>
  <c r="G6" i="17"/>
  <c r="D6" i="17"/>
  <c r="G55" i="17" l="1"/>
  <c r="G56" i="17" s="1"/>
  <c r="H56" i="15"/>
  <c r="D62" i="16" l="1"/>
  <c r="D59" i="16"/>
  <c r="D60" i="16" s="1"/>
  <c r="D47" i="16"/>
  <c r="D19" i="16"/>
  <c r="H46" i="15"/>
  <c r="H48" i="15"/>
  <c r="H45" i="15"/>
  <c r="H50" i="15" l="1"/>
  <c r="C57" i="18"/>
  <c r="C69" i="18"/>
  <c r="D7" i="18"/>
  <c r="D8" i="18" s="1"/>
  <c r="C51" i="18"/>
  <c r="C48" i="18" s="1"/>
  <c r="C64" i="18" s="1"/>
  <c r="D68" i="17"/>
  <c r="D67" i="17"/>
  <c r="G38" i="17"/>
  <c r="G69" i="17" l="1"/>
  <c r="G76" i="20"/>
  <c r="G77" i="20" s="1"/>
  <c r="G78" i="20" s="1"/>
  <c r="G79" i="20" s="1"/>
  <c r="B20" i="18"/>
  <c r="C20" i="18" s="1"/>
  <c r="D22" i="18"/>
  <c r="C58" i="18"/>
  <c r="C59" i="18" s="1"/>
  <c r="C61" i="18" s="1"/>
  <c r="C60" i="18"/>
  <c r="G40" i="17"/>
  <c r="I31" i="19" s="1"/>
  <c r="I35" i="19" s="1"/>
  <c r="I36" i="19" s="1"/>
  <c r="D55" i="17"/>
  <c r="D56" i="17" s="1"/>
  <c r="D58" i="17"/>
  <c r="G12" i="17"/>
  <c r="D12" i="17"/>
  <c r="D17" i="17" s="1"/>
  <c r="F12" i="17"/>
  <c r="G46" i="17"/>
  <c r="E12" i="17"/>
  <c r="F35" i="18"/>
  <c r="C67" i="18"/>
  <c r="C71" i="18" s="1"/>
  <c r="D23" i="18"/>
  <c r="D34" i="18"/>
  <c r="F42" i="18"/>
  <c r="D42" i="18"/>
  <c r="B42" i="18"/>
  <c r="C42" i="18" s="1"/>
  <c r="F41" i="18"/>
  <c r="D41" i="18"/>
  <c r="B41" i="18"/>
  <c r="C41" i="18" s="1"/>
  <c r="D24" i="18"/>
  <c r="F38" i="18"/>
  <c r="F37" i="18"/>
  <c r="F36" i="18"/>
  <c r="F26" i="18"/>
  <c r="D36" i="18"/>
  <c r="F25" i="18"/>
  <c r="D35" i="18"/>
  <c r="F24" i="18"/>
  <c r="D32" i="18"/>
  <c r="F20" i="18"/>
  <c r="D40" i="18"/>
  <c r="D27" i="18"/>
  <c r="F17" i="18"/>
  <c r="F29" i="18"/>
  <c r="D26" i="18"/>
  <c r="F28" i="18"/>
  <c r="D21" i="18"/>
  <c r="D39" i="18"/>
  <c r="F40" i="18"/>
  <c r="D37" i="18"/>
  <c r="D25" i="18"/>
  <c r="F39" i="18"/>
  <c r="F27" i="18"/>
  <c r="D20" i="18"/>
  <c r="F34" i="18"/>
  <c r="D31" i="18"/>
  <c r="F33" i="18"/>
  <c r="B40" i="18"/>
  <c r="C40" i="18" s="1"/>
  <c r="D18" i="18"/>
  <c r="B39" i="18"/>
  <c r="C39" i="18" s="1"/>
  <c r="D29" i="18"/>
  <c r="D38" i="18"/>
  <c r="F31" i="18"/>
  <c r="F19" i="18"/>
  <c r="D33" i="18"/>
  <c r="F23" i="18"/>
  <c r="F22" i="18"/>
  <c r="D19" i="18"/>
  <c r="F21" i="18"/>
  <c r="D30" i="18"/>
  <c r="F32" i="18"/>
  <c r="D17" i="18"/>
  <c r="D28" i="18"/>
  <c r="F30" i="18"/>
  <c r="F18" i="18"/>
  <c r="B31" i="18"/>
  <c r="C31" i="18" s="1"/>
  <c r="B30" i="18"/>
  <c r="C30" i="18" s="1"/>
  <c r="B19" i="18"/>
  <c r="C19" i="18" s="1"/>
  <c r="B18" i="18"/>
  <c r="C18" i="18" s="1"/>
  <c r="B28" i="18"/>
  <c r="C28" i="18" s="1"/>
  <c r="B38" i="18"/>
  <c r="C38" i="18" s="1"/>
  <c r="B25" i="18"/>
  <c r="C25" i="18" s="1"/>
  <c r="B27" i="18"/>
  <c r="C27" i="18" s="1"/>
  <c r="B26" i="18"/>
  <c r="C26" i="18" s="1"/>
  <c r="B37" i="18"/>
  <c r="C37" i="18" s="1"/>
  <c r="B24" i="18"/>
  <c r="C24" i="18" s="1"/>
  <c r="B23" i="18"/>
  <c r="C23" i="18" s="1"/>
  <c r="B34" i="18"/>
  <c r="C34" i="18" s="1"/>
  <c r="B22" i="18"/>
  <c r="C22" i="18" s="1"/>
  <c r="B33" i="18"/>
  <c r="C33" i="18" s="1"/>
  <c r="B21" i="18"/>
  <c r="C21" i="18" s="1"/>
  <c r="B29" i="18"/>
  <c r="C29" i="18" s="1"/>
  <c r="B17" i="18"/>
  <c r="C17" i="18" s="1"/>
  <c r="B36" i="18"/>
  <c r="C36" i="18" s="1"/>
  <c r="B35" i="18"/>
  <c r="C35" i="18" s="1"/>
  <c r="B32" i="18"/>
  <c r="C32" i="18" s="1"/>
  <c r="D37" i="16"/>
  <c r="D36" i="16"/>
  <c r="D34" i="16"/>
  <c r="D33" i="16"/>
  <c r="D15" i="16"/>
  <c r="D16" i="16" s="1"/>
  <c r="D11" i="16"/>
  <c r="D42" i="16" s="1"/>
  <c r="H71" i="15"/>
  <c r="H72" i="15" s="1"/>
  <c r="H73" i="15" s="1"/>
  <c r="H62" i="15"/>
  <c r="H49" i="15"/>
  <c r="H51" i="15"/>
  <c r="G29" i="15"/>
  <c r="F29" i="15"/>
  <c r="E29" i="15"/>
  <c r="D29" i="15"/>
  <c r="H21" i="15"/>
  <c r="G20" i="15"/>
  <c r="F20" i="15"/>
  <c r="E20" i="15"/>
  <c r="D20" i="15"/>
  <c r="H18" i="15"/>
  <c r="H19" i="15" s="1"/>
  <c r="G17" i="15"/>
  <c r="F17" i="15"/>
  <c r="E17" i="15"/>
  <c r="D17" i="15"/>
  <c r="G13" i="15"/>
  <c r="F13" i="15"/>
  <c r="E13" i="15"/>
  <c r="D13" i="15"/>
  <c r="H11" i="15"/>
  <c r="H14" i="15" s="1"/>
  <c r="H15" i="15" s="1"/>
  <c r="G10" i="15"/>
  <c r="F10" i="15"/>
  <c r="E10" i="15"/>
  <c r="D10" i="15"/>
  <c r="G9" i="15"/>
  <c r="F9" i="15"/>
  <c r="E9" i="15"/>
  <c r="D9" i="15"/>
  <c r="G8" i="15"/>
  <c r="F8" i="15"/>
  <c r="E8" i="15"/>
  <c r="D8" i="15"/>
  <c r="G7" i="15"/>
  <c r="F7" i="15"/>
  <c r="E7" i="15"/>
  <c r="D7" i="15"/>
  <c r="G43" i="17" l="1"/>
  <c r="G42" i="17"/>
  <c r="G81" i="20"/>
  <c r="G80" i="20"/>
  <c r="D38" i="16"/>
  <c r="D25" i="22"/>
  <c r="D32" i="21"/>
  <c r="D33" i="21" s="1"/>
  <c r="H22" i="15"/>
  <c r="D39" i="16"/>
  <c r="D69" i="17"/>
  <c r="D52" i="16"/>
  <c r="D20" i="16"/>
  <c r="D22" i="16" s="1"/>
  <c r="D23" i="16" s="1"/>
  <c r="D55" i="16" s="1"/>
  <c r="D57" i="16" s="1"/>
  <c r="D61" i="16" s="1"/>
  <c r="D63" i="16" s="1"/>
  <c r="D21" i="15"/>
  <c r="F21" i="15"/>
  <c r="G48" i="17"/>
  <c r="D11" i="15"/>
  <c r="D30" i="15" s="1"/>
  <c r="D31" i="15" s="1"/>
  <c r="D32" i="15" s="1"/>
  <c r="G47" i="17"/>
  <c r="E11" i="15"/>
  <c r="E30" i="15" s="1"/>
  <c r="E31" i="15" s="1"/>
  <c r="G11" i="15"/>
  <c r="G30" i="15" s="1"/>
  <c r="G31" i="15" s="1"/>
  <c r="F18" i="15"/>
  <c r="F19" i="15" s="1"/>
  <c r="G21" i="15"/>
  <c r="F11" i="15"/>
  <c r="F30" i="15" s="1"/>
  <c r="F31" i="15" s="1"/>
  <c r="G18" i="15"/>
  <c r="G19" i="15" s="1"/>
  <c r="E21" i="15"/>
  <c r="E18" i="15"/>
  <c r="E19" i="15" s="1"/>
  <c r="D18" i="15"/>
  <c r="H66" i="15"/>
  <c r="H64" i="15"/>
  <c r="H30" i="15"/>
  <c r="H31" i="15" s="1"/>
  <c r="H63" i="15"/>
  <c r="D50" i="22" l="1"/>
  <c r="D26" i="22"/>
  <c r="G49" i="17"/>
  <c r="D64" i="16"/>
  <c r="G22" i="15"/>
  <c r="E32" i="15"/>
  <c r="F32" i="15" s="1"/>
  <c r="G32" i="15" s="1"/>
  <c r="H32" i="15" s="1"/>
  <c r="F22" i="15"/>
  <c r="D14" i="15"/>
  <c r="D15" i="15" s="1"/>
  <c r="D24" i="15" s="1"/>
  <c r="D46" i="16"/>
  <c r="D24" i="16"/>
  <c r="D19" i="15"/>
  <c r="D22" i="15" s="1"/>
  <c r="G14" i="15"/>
  <c r="G15" i="15" s="1"/>
  <c r="E14" i="15"/>
  <c r="E15" i="15" s="1"/>
  <c r="E22" i="15"/>
  <c r="F14" i="15"/>
  <c r="F15" i="15" s="1"/>
  <c r="H65" i="15"/>
  <c r="H67" i="15" s="1"/>
  <c r="G50" i="17" l="1"/>
  <c r="D49" i="16"/>
  <c r="D26" i="15"/>
  <c r="E24" i="15" s="1"/>
  <c r="E26" i="15" s="1"/>
  <c r="F24" i="15" s="1"/>
  <c r="F25" i="15" s="1"/>
  <c r="D25" i="15"/>
  <c r="E25" i="15" l="1"/>
  <c r="F26" i="15"/>
  <c r="G24" i="15" s="1"/>
  <c r="G25" i="15" s="1"/>
  <c r="G36" i="15" s="1"/>
  <c r="G35" i="15" l="1"/>
  <c r="G26" i="15"/>
  <c r="G37" i="15" s="1"/>
  <c r="H24" i="15" l="1"/>
  <c r="H55" i="15" s="1"/>
  <c r="H58" i="15" s="1"/>
  <c r="H25" i="15" l="1"/>
  <c r="H36" i="15" s="1"/>
  <c r="H35" i="15"/>
  <c r="H26" i="15"/>
  <c r="H37" i="15" s="1"/>
  <c r="H74" i="15" s="1"/>
  <c r="H75" i="15" s="1"/>
  <c r="H77" i="15" s="1"/>
  <c r="H78" i="15" s="1"/>
  <c r="H47" i="7" l="1"/>
  <c r="D12" i="14" l="1"/>
  <c r="D16" i="14" s="1"/>
  <c r="D11" i="14"/>
  <c r="E44" i="2"/>
  <c r="F44" i="2"/>
  <c r="D42" i="2"/>
  <c r="D45" i="2" s="1"/>
  <c r="E42" i="2"/>
  <c r="E45" i="2" s="1"/>
  <c r="F42" i="2"/>
  <c r="F45" i="2" s="1"/>
  <c r="G42" i="2"/>
  <c r="G45" i="2" s="1"/>
  <c r="G44" i="2"/>
  <c r="D21" i="1"/>
  <c r="D18" i="1"/>
  <c r="D9" i="1"/>
  <c r="D12" i="1" s="1"/>
  <c r="D24" i="1" s="1"/>
  <c r="G41" i="2" l="1"/>
  <c r="G47" i="2" s="1"/>
  <c r="G42" i="1"/>
  <c r="D13" i="7"/>
  <c r="D9" i="7"/>
  <c r="D10" i="7"/>
  <c r="D17" i="7"/>
  <c r="D7" i="7"/>
  <c r="D8" i="7"/>
  <c r="D20" i="7"/>
  <c r="E13" i="7"/>
  <c r="E9" i="7"/>
  <c r="E10" i="7"/>
  <c r="E17" i="7"/>
  <c r="E7" i="7"/>
  <c r="E8" i="7"/>
  <c r="E20" i="7"/>
  <c r="F13" i="7"/>
  <c r="F9" i="7"/>
  <c r="F10" i="7"/>
  <c r="F17" i="7"/>
  <c r="F7" i="7"/>
  <c r="F8" i="7"/>
  <c r="F20" i="7"/>
  <c r="G13" i="7"/>
  <c r="G9" i="7"/>
  <c r="G10" i="7"/>
  <c r="G17" i="7"/>
  <c r="G7" i="7"/>
  <c r="G8" i="7"/>
  <c r="G20" i="7"/>
  <c r="H11" i="7"/>
  <c r="H18" i="7"/>
  <c r="H19" i="7" s="1"/>
  <c r="H21" i="7"/>
  <c r="D29" i="7"/>
  <c r="E29" i="7"/>
  <c r="F29" i="7"/>
  <c r="G29" i="7"/>
  <c r="D13" i="2"/>
  <c r="D24" i="2" s="1"/>
  <c r="D34" i="2" s="1"/>
  <c r="D18" i="2"/>
  <c r="D19" i="2" s="1"/>
  <c r="D21" i="2"/>
  <c r="E13" i="2"/>
  <c r="E18" i="2"/>
  <c r="E19" i="2" s="1"/>
  <c r="E21" i="2"/>
  <c r="F13" i="2"/>
  <c r="F18" i="2"/>
  <c r="F19" i="2" s="1"/>
  <c r="F21" i="2"/>
  <c r="G13" i="2"/>
  <c r="D30" i="2"/>
  <c r="D31" i="2" s="1"/>
  <c r="D23" i="17" s="1"/>
  <c r="D26" i="17" s="1"/>
  <c r="E30" i="2"/>
  <c r="F30" i="2"/>
  <c r="G30" i="2"/>
  <c r="G18" i="2"/>
  <c r="D4" i="22" s="1"/>
  <c r="G21" i="2"/>
  <c r="D30" i="1"/>
  <c r="D31" i="1" s="1"/>
  <c r="D32" i="1" s="1"/>
  <c r="D19" i="1"/>
  <c r="D22" i="1" s="1"/>
  <c r="E9" i="1"/>
  <c r="E18" i="1"/>
  <c r="E19" i="1" s="1"/>
  <c r="E21" i="1"/>
  <c r="F9" i="1"/>
  <c r="F18" i="1"/>
  <c r="F19" i="1" s="1"/>
  <c r="F21" i="1"/>
  <c r="G9" i="1"/>
  <c r="G12" i="1" s="1"/>
  <c r="G13" i="1" s="1"/>
  <c r="G18" i="1"/>
  <c r="G19" i="1" s="1"/>
  <c r="G21" i="1"/>
  <c r="E22" i="1" l="1"/>
  <c r="D11" i="7"/>
  <c r="D14" i="7" s="1"/>
  <c r="D15" i="7" s="1"/>
  <c r="D45" i="16"/>
  <c r="D48" i="16" s="1"/>
  <c r="D50" i="16" s="1"/>
  <c r="H54" i="15"/>
  <c r="H57" i="15" s="1"/>
  <c r="H59" i="15" s="1"/>
  <c r="H46" i="7"/>
  <c r="H48" i="7" s="1"/>
  <c r="G43" i="1"/>
  <c r="F41" i="2"/>
  <c r="G46" i="2"/>
  <c r="G48" i="2" s="1"/>
  <c r="G21" i="7"/>
  <c r="D21" i="7"/>
  <c r="G18" i="7"/>
  <c r="G19" i="7" s="1"/>
  <c r="G22" i="7" s="1"/>
  <c r="D30" i="7"/>
  <c r="D31" i="7" s="1"/>
  <c r="D32" i="7" s="1"/>
  <c r="E21" i="7"/>
  <c r="D26" i="1"/>
  <c r="D25" i="1"/>
  <c r="D36" i="1" s="1"/>
  <c r="F18" i="7"/>
  <c r="F19" i="7" s="1"/>
  <c r="D22" i="2"/>
  <c r="D15" i="17" s="1"/>
  <c r="F22" i="1"/>
  <c r="G11" i="7"/>
  <c r="G14" i="7" s="1"/>
  <c r="G15" i="7" s="1"/>
  <c r="G22" i="1"/>
  <c r="G19" i="2"/>
  <c r="G22" i="2" s="1"/>
  <c r="G15" i="17" s="1"/>
  <c r="G30" i="1"/>
  <c r="G31" i="1" s="1"/>
  <c r="E11" i="7"/>
  <c r="E14" i="7" s="1"/>
  <c r="E15" i="7" s="1"/>
  <c r="F22" i="2"/>
  <c r="F15" i="17" s="1"/>
  <c r="F11" i="7"/>
  <c r="F14" i="7" s="1"/>
  <c r="F15" i="7" s="1"/>
  <c r="E18" i="7"/>
  <c r="E19" i="7" s="1"/>
  <c r="D18" i="7"/>
  <c r="E22" i="2"/>
  <c r="E15" i="17" s="1"/>
  <c r="H30" i="7"/>
  <c r="H31" i="7" s="1"/>
  <c r="H14" i="7"/>
  <c r="H15" i="7" s="1"/>
  <c r="F21" i="7"/>
  <c r="E12" i="1"/>
  <c r="E13" i="1" s="1"/>
  <c r="E30" i="1"/>
  <c r="E31" i="1" s="1"/>
  <c r="E32" i="1" s="1"/>
  <c r="E31" i="2"/>
  <c r="E23" i="17" s="1"/>
  <c r="F12" i="1"/>
  <c r="F13" i="1" s="1"/>
  <c r="F30" i="1"/>
  <c r="F31" i="1" s="1"/>
  <c r="H22" i="7"/>
  <c r="D19" i="17" l="1"/>
  <c r="D18" i="17"/>
  <c r="D27" i="17" s="1"/>
  <c r="E41" i="2"/>
  <c r="F46" i="2"/>
  <c r="F48" i="2" s="1"/>
  <c r="F47" i="2"/>
  <c r="D24" i="7"/>
  <c r="D19" i="7"/>
  <c r="D22" i="7" s="1"/>
  <c r="G30" i="7"/>
  <c r="G31" i="7" s="1"/>
  <c r="E22" i="7"/>
  <c r="F30" i="7"/>
  <c r="F31" i="7" s="1"/>
  <c r="F22" i="7"/>
  <c r="E24" i="1"/>
  <c r="E25" i="1" s="1"/>
  <c r="D37" i="1"/>
  <c r="E30" i="7"/>
  <c r="E31" i="7" s="1"/>
  <c r="E32" i="7" s="1"/>
  <c r="D25" i="2"/>
  <c r="D35" i="2" s="1"/>
  <c r="D26" i="2"/>
  <c r="F31" i="2"/>
  <c r="F23" i="17" s="1"/>
  <c r="F32" i="1"/>
  <c r="G32" i="1" s="1"/>
  <c r="D59" i="17" l="1"/>
  <c r="D60" i="17" s="1"/>
  <c r="D62" i="17"/>
  <c r="D64" i="17" s="1"/>
  <c r="D65" i="17" s="1"/>
  <c r="D71" i="17" s="1"/>
  <c r="D73" i="17" s="1"/>
  <c r="D28" i="17"/>
  <c r="D61" i="17" s="1"/>
  <c r="E17" i="17"/>
  <c r="E46" i="2"/>
  <c r="E48" i="2" s="1"/>
  <c r="E47" i="2"/>
  <c r="D41" i="2"/>
  <c r="D26" i="7"/>
  <c r="E24" i="7" s="1"/>
  <c r="E25" i="7" s="1"/>
  <c r="D25" i="7"/>
  <c r="F32" i="7"/>
  <c r="G32" i="7" s="1"/>
  <c r="H32" i="7" s="1"/>
  <c r="E24" i="2"/>
  <c r="D36" i="2"/>
  <c r="E26" i="1"/>
  <c r="F24" i="1" s="1"/>
  <c r="G31" i="2"/>
  <c r="G23" i="17" s="1"/>
  <c r="E26" i="7" l="1"/>
  <c r="F24" i="7" s="1"/>
  <c r="F26" i="7" s="1"/>
  <c r="G24" i="7" s="1"/>
  <c r="E18" i="17"/>
  <c r="E27" i="17" s="1"/>
  <c r="E26" i="17"/>
  <c r="E19" i="17"/>
  <c r="D70" i="17"/>
  <c r="D72" i="17" s="1"/>
  <c r="D74" i="17" s="1"/>
  <c r="D46" i="2"/>
  <c r="D47" i="2"/>
  <c r="D50" i="2" s="1"/>
  <c r="F25" i="7"/>
  <c r="E34" i="2"/>
  <c r="E49" i="2" s="1"/>
  <c r="E25" i="2"/>
  <c r="E35" i="2" s="1"/>
  <c r="E50" i="2" s="1"/>
  <c r="E26" i="2"/>
  <c r="G25" i="7"/>
  <c r="G26" i="7"/>
  <c r="F26" i="1"/>
  <c r="G24" i="1" s="1"/>
  <c r="G35" i="1" s="1"/>
  <c r="F25" i="1"/>
  <c r="F17" i="17" l="1"/>
  <c r="E28" i="17"/>
  <c r="D48" i="2"/>
  <c r="D51" i="2" s="1"/>
  <c r="D49" i="2"/>
  <c r="F24" i="2"/>
  <c r="E36" i="2"/>
  <c r="E51" i="2" s="1"/>
  <c r="H24" i="7"/>
  <c r="H35" i="7" s="1"/>
  <c r="G25" i="1"/>
  <c r="G36" i="1" s="1"/>
  <c r="G26" i="1"/>
  <c r="G37" i="1" s="1"/>
  <c r="F26" i="17" l="1"/>
  <c r="F18" i="17"/>
  <c r="F27" i="17" s="1"/>
  <c r="F19" i="17"/>
  <c r="H39" i="7"/>
  <c r="F34" i="2"/>
  <c r="F49" i="2" s="1"/>
  <c r="F26" i="2"/>
  <c r="F25" i="2"/>
  <c r="F35" i="2" s="1"/>
  <c r="F50" i="2" s="1"/>
  <c r="H25" i="7"/>
  <c r="H26" i="7"/>
  <c r="G17" i="17" l="1"/>
  <c r="F28" i="17"/>
  <c r="H41" i="7"/>
  <c r="H37" i="7"/>
  <c r="H40" i="7"/>
  <c r="H50" i="7" s="1"/>
  <c r="H36" i="7"/>
  <c r="H49" i="7" s="1"/>
  <c r="G24" i="2"/>
  <c r="F36" i="2"/>
  <c r="F51" i="2" s="1"/>
  <c r="G26" i="17" l="1"/>
  <c r="D5" i="22" s="1"/>
  <c r="G19" i="17"/>
  <c r="G28" i="17" s="1"/>
  <c r="G18" i="17"/>
  <c r="G27" i="17" s="1"/>
  <c r="G34" i="2"/>
  <c r="G49" i="2" s="1"/>
  <c r="G25" i="2"/>
  <c r="G35" i="2" s="1"/>
  <c r="G50" i="2" s="1"/>
  <c r="G26" i="2"/>
  <c r="G36" i="2" s="1"/>
  <c r="G51" i="2" s="1"/>
  <c r="G59" i="17" l="1"/>
  <c r="G60" i="17" s="1"/>
  <c r="G62" i="17"/>
  <c r="D14" i="22"/>
  <c r="D47" i="22"/>
  <c r="D52" i="22" s="1"/>
  <c r="D15" i="22"/>
  <c r="D22" i="22" s="1"/>
  <c r="D18" i="22"/>
  <c r="D16" i="22" l="1"/>
  <c r="D27" i="22" s="1"/>
  <c r="D19" i="22"/>
  <c r="G64" i="17"/>
  <c r="G65" i="17"/>
  <c r="G61" i="17"/>
  <c r="D20" i="22" l="1"/>
  <c r="D21" i="22"/>
  <c r="D29" i="22" s="1"/>
  <c r="D30" i="22" s="1"/>
  <c r="D31" i="22" s="1"/>
  <c r="D32" i="22" s="1"/>
  <c r="G70" i="17"/>
  <c r="G72" i="17" s="1"/>
  <c r="G74" i="17" s="1"/>
  <c r="G71" i="17"/>
  <c r="G73" i="17" s="1"/>
  <c r="D39" i="22" l="1"/>
  <c r="D38" i="22"/>
  <c r="D40" i="22" s="1"/>
  <c r="D42" i="22" s="1"/>
  <c r="D43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pschoeps</author>
  </authors>
  <commentList>
    <comment ref="E17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pschoeps:</t>
        </r>
        <r>
          <rPr>
            <sz val="9"/>
            <color indexed="81"/>
            <rFont val="Segoe UI"/>
            <family val="2"/>
          </rPr>
          <t xml:space="preserve">
μ wurden manuell aus der Bemessungstabelle entnommen</t>
        </r>
      </text>
    </comment>
  </commentList>
</comments>
</file>

<file path=xl/sharedStrings.xml><?xml version="1.0" encoding="utf-8"?>
<sst xmlns="http://schemas.openxmlformats.org/spreadsheetml/2006/main" count="1536" uniqueCount="665">
  <si>
    <t>EG</t>
  </si>
  <si>
    <t>DG</t>
  </si>
  <si>
    <t>OG1</t>
  </si>
  <si>
    <t>OG2</t>
  </si>
  <si>
    <t>Lasteinflussflaeche</t>
  </si>
  <si>
    <t>kN/m^2</t>
  </si>
  <si>
    <t>Länge</t>
  </si>
  <si>
    <t>kN</t>
  </si>
  <si>
    <t>kN/m</t>
  </si>
  <si>
    <t>Höhenfaktor</t>
  </si>
  <si>
    <t>Wandhöhe</t>
  </si>
  <si>
    <t>Wanddicke</t>
  </si>
  <si>
    <t>m</t>
  </si>
  <si>
    <t>kN/m^3</t>
  </si>
  <si>
    <t>Mauerwerk</t>
  </si>
  <si>
    <t>Putz, innen und außen</t>
  </si>
  <si>
    <t>MW+Putz</t>
  </si>
  <si>
    <t>Teilsicherheitsbeiwert ständig</t>
  </si>
  <si>
    <t>Teilsicherheitsbeiwert veränd.</t>
  </si>
  <si>
    <t>Charak. Druckfestigkeit MW</t>
  </si>
  <si>
    <t>Teilsicherheitsbeiwert</t>
  </si>
  <si>
    <t>Abminderungsfaktor</t>
  </si>
  <si>
    <t>Widerstand</t>
  </si>
  <si>
    <t>Einfacher Nachweis Mauerwerk</t>
  </si>
  <si>
    <t>Ständige Wandlasten</t>
  </si>
  <si>
    <t>Flächenlast</t>
  </si>
  <si>
    <t>Ständige Deckenlasten</t>
  </si>
  <si>
    <t>Veränderliche Deckenlasten</t>
  </si>
  <si>
    <t>Akkumulierte Summe oben</t>
  </si>
  <si>
    <t>Nachweis mit Lastexzentrizitäten - vereinfachtes Verfahren</t>
  </si>
  <si>
    <t>Deckenspannweite</t>
  </si>
  <si>
    <t>Faktor anteilige Deckenspannweite</t>
  </si>
  <si>
    <t>oben</t>
  </si>
  <si>
    <t>Mitte</t>
  </si>
  <si>
    <t>unten</t>
  </si>
  <si>
    <t>Ständige Lasten: Akkumulierte Summen Wand</t>
  </si>
  <si>
    <t>Streckenlast auf Wand</t>
  </si>
  <si>
    <t>Akkumulierte Summe Wand</t>
  </si>
  <si>
    <t>Dicke</t>
  </si>
  <si>
    <t>Bemessungswerte Einwirkungen</t>
  </si>
  <si>
    <t>Bemessungswert Druckfestigkeit</t>
  </si>
  <si>
    <t>Bemessungswert Widerstand</t>
  </si>
  <si>
    <t>MW Flächenlast</t>
  </si>
  <si>
    <t>MW Streckenlast</t>
  </si>
  <si>
    <t>Putz Streckenlast</t>
  </si>
  <si>
    <t>Gesamtlast</t>
  </si>
  <si>
    <t>Streckenlast auf MW</t>
  </si>
  <si>
    <t>Fläche</t>
  </si>
  <si>
    <t>d</t>
  </si>
  <si>
    <t>b</t>
  </si>
  <si>
    <t>Steinfestigkeitsklasse</t>
  </si>
  <si>
    <t>h</t>
  </si>
  <si>
    <t>KG</t>
  </si>
  <si>
    <t>MW+Putz Streckenlast</t>
  </si>
  <si>
    <t>Einflussfaktor</t>
  </si>
  <si>
    <t>lichte Wandhöhe</t>
  </si>
  <si>
    <t>Anschütthöhe</t>
  </si>
  <si>
    <t>-</t>
  </si>
  <si>
    <t>Ständige Lasten: Akkumulierte Summen</t>
  </si>
  <si>
    <t>Bodengewicht</t>
  </si>
  <si>
    <t>N_Edo</t>
  </si>
  <si>
    <t>N_Edm</t>
  </si>
  <si>
    <t>N_Edu</t>
  </si>
  <si>
    <t>f_d</t>
  </si>
  <si>
    <t>Stein KS 20-2,0-12</t>
  </si>
  <si>
    <t>Verkehr+Trennw.</t>
  </si>
  <si>
    <t>η</t>
  </si>
  <si>
    <t>γ_M</t>
  </si>
  <si>
    <t>DG -&gt; Dach</t>
  </si>
  <si>
    <t>Position S1</t>
  </si>
  <si>
    <t>ϕ_1</t>
  </si>
  <si>
    <t xml:space="preserve">Position S6 </t>
  </si>
  <si>
    <t>ϕ_2</t>
  </si>
  <si>
    <t>Knicklänge</t>
  </si>
  <si>
    <t>zugrundeliegende Lastnorm DIN EN 1991-1 + NA</t>
  </si>
  <si>
    <t>EC6-3 NA D.3 NM2</t>
  </si>
  <si>
    <t>zugrundeliegende Mauerwerksnorm DIN EN 1996-1-1 + NA (EC6), 1996-3 + NA (EC6-3)</t>
  </si>
  <si>
    <t>EC6 NA 1</t>
  </si>
  <si>
    <t>ζ</t>
  </si>
  <si>
    <t>Einfacher Nachweis - noch nicht ganz normengerecht</t>
  </si>
  <si>
    <t>t</t>
  </si>
  <si>
    <t>Deckenauflagertiefe</t>
  </si>
  <si>
    <t>a</t>
  </si>
  <si>
    <t>EC6-3 NA (NA.1)</t>
  </si>
  <si>
    <t>l_f</t>
  </si>
  <si>
    <t>h_ef</t>
  </si>
  <si>
    <t>EC6-3 NA (NA.3)</t>
  </si>
  <si>
    <t>f_k</t>
  </si>
  <si>
    <t>K</t>
  </si>
  <si>
    <t>Bem.wert Festigkeit</t>
  </si>
  <si>
    <t>Beiwert</t>
  </si>
  <si>
    <t>vorh. Blatt</t>
  </si>
  <si>
    <t xml:space="preserve">Position K1 </t>
  </si>
  <si>
    <t>z</t>
  </si>
  <si>
    <t>Dauerstandsfaktor</t>
  </si>
  <si>
    <t>EC6 NA 6.1.2.1</t>
  </si>
  <si>
    <t>vgl. einfacher Nachweis</t>
  </si>
  <si>
    <t>Turmbau zu Dresden</t>
  </si>
  <si>
    <t>MG III</t>
  </si>
  <si>
    <t>Mz 28</t>
  </si>
  <si>
    <t>Stein</t>
  </si>
  <si>
    <t>Mörtel</t>
  </si>
  <si>
    <t>DM</t>
  </si>
  <si>
    <t>PP 8</t>
  </si>
  <si>
    <t>PP 2</t>
  </si>
  <si>
    <t>g</t>
  </si>
  <si>
    <t>N/mm²</t>
  </si>
  <si>
    <t>kN/m³</t>
  </si>
  <si>
    <t>C25/30</t>
  </si>
  <si>
    <t>S235</t>
  </si>
  <si>
    <t>C24</t>
  </si>
  <si>
    <t>Plansteine</t>
  </si>
  <si>
    <t>KS-P 20</t>
  </si>
  <si>
    <t>ǁ</t>
  </si>
  <si>
    <t>^</t>
  </si>
  <si>
    <r>
      <t>f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o. f</t>
    </r>
    <r>
      <rPr>
        <vertAlign val="subscript"/>
        <sz val="10"/>
        <rFont val="Arial"/>
        <family val="2"/>
      </rPr>
      <t>bk</t>
    </r>
    <r>
      <rPr>
        <sz val="10"/>
        <rFont val="Arial"/>
        <family val="2"/>
      </rPr>
      <t xml:space="preserve"> (NA)</t>
    </r>
  </si>
  <si>
    <t>Steinfestigkeit (Mittelwert)</t>
  </si>
  <si>
    <r>
      <t>f</t>
    </r>
    <r>
      <rPr>
        <vertAlign val="subscript"/>
        <sz val="10"/>
        <rFont val="Arial"/>
        <family val="2"/>
      </rPr>
      <t>st</t>
    </r>
    <r>
      <rPr>
        <sz val="10"/>
        <rFont val="Arial"/>
        <family val="2"/>
      </rPr>
      <t xml:space="preserve"> (NA)</t>
    </r>
  </si>
  <si>
    <t>Mörtelfestigkeit (Rechenwert)</t>
  </si>
  <si>
    <r>
      <t>f</t>
    </r>
    <r>
      <rPr>
        <vertAlign val="subscript"/>
        <sz val="10"/>
        <rFont val="Arial"/>
        <family val="2"/>
      </rPr>
      <t>m</t>
    </r>
  </si>
  <si>
    <t>Mauerwerksfestigkeit nach EC6-1-1/NA</t>
  </si>
  <si>
    <r>
      <t>f</t>
    </r>
    <r>
      <rPr>
        <vertAlign val="subscript"/>
        <sz val="10"/>
        <rFont val="Arial"/>
        <family val="2"/>
      </rPr>
      <t>k</t>
    </r>
  </si>
  <si>
    <t>Mauerwerksfestigkeit nach EC6-3/NA
oder nach der jeweiligen Norm</t>
  </si>
  <si>
    <t>Teilsicherheitsbeiwert Widerstand</t>
  </si>
  <si>
    <r>
      <rPr>
        <sz val="10"/>
        <rFont val="Symbol"/>
        <family val="1"/>
        <charset val="2"/>
      </rPr>
      <t>g</t>
    </r>
    <r>
      <rPr>
        <vertAlign val="subscript"/>
        <sz val="10"/>
        <rFont val="Arial"/>
        <family val="2"/>
      </rPr>
      <t>M</t>
    </r>
  </si>
  <si>
    <r>
      <t>k</t>
    </r>
    <r>
      <rPr>
        <vertAlign val="subscript"/>
        <sz val="10"/>
        <rFont val="Arial"/>
        <family val="2"/>
      </rPr>
      <t>mod</t>
    </r>
  </si>
  <si>
    <t>Druckfestigkeit (Bemessungswert)</t>
  </si>
  <si>
    <r>
      <t>f</t>
    </r>
    <r>
      <rPr>
        <vertAlign val="subscript"/>
        <sz val="10"/>
        <rFont val="Arial"/>
        <family val="2"/>
      </rPr>
      <t>d</t>
    </r>
  </si>
  <si>
    <t>Wichte Mauerwerk</t>
  </si>
  <si>
    <t>Teilsicherheitsbeiwert Einwirkung</t>
  </si>
  <si>
    <t>Eigengewichtshöhe</t>
  </si>
  <si>
    <t>m²</t>
  </si>
  <si>
    <t>kN/m²</t>
  </si>
  <si>
    <t>Nachweis</t>
  </si>
  <si>
    <t>Bemessungswert Widerstand Kopf</t>
  </si>
  <si>
    <t>Bemessungswert Widerstand Mitte</t>
  </si>
  <si>
    <t>Bemessungswert Widerstand Fuss</t>
  </si>
  <si>
    <r>
      <t>N</t>
    </r>
    <r>
      <rPr>
        <vertAlign val="subscript"/>
        <sz val="10"/>
        <rFont val="Arial"/>
        <family val="2"/>
      </rPr>
      <t>Rd,1</t>
    </r>
  </si>
  <si>
    <r>
      <t>N</t>
    </r>
    <r>
      <rPr>
        <vertAlign val="subscript"/>
        <sz val="10"/>
        <rFont val="Arial"/>
        <family val="2"/>
      </rPr>
      <t>Rd,2</t>
    </r>
    <r>
      <rPr>
        <sz val="11"/>
        <color theme="1"/>
        <rFont val="Calibri"/>
        <family val="2"/>
        <scheme val="minor"/>
      </rPr>
      <t/>
    </r>
  </si>
  <si>
    <t>Nachweis Kopf</t>
  </si>
  <si>
    <t>Nachweis Mitte</t>
  </si>
  <si>
    <t>Der Nachweis nach dem v.V. ist noch zu führen.</t>
  </si>
  <si>
    <t>Höhe</t>
  </si>
  <si>
    <t>h/l</t>
  </si>
  <si>
    <t>Höhe ü.G.</t>
  </si>
  <si>
    <t>zul A bei h/l = 1,0</t>
  </si>
  <si>
    <r>
      <t xml:space="preserve">zul A bei h/l </t>
    </r>
    <r>
      <rPr>
        <sz val="10"/>
        <rFont val="Calibri"/>
        <family val="2"/>
      </rPr>
      <t>≤ 0,5</t>
    </r>
  </si>
  <si>
    <t>zul A interpoliert</t>
  </si>
  <si>
    <r>
      <t>n</t>
    </r>
    <r>
      <rPr>
        <vertAlign val="subscript"/>
        <sz val="10"/>
        <rFont val="Arial"/>
        <family val="2"/>
      </rPr>
      <t>Ed,min</t>
    </r>
  </si>
  <si>
    <r>
      <t>n</t>
    </r>
    <r>
      <rPr>
        <vertAlign val="subscript"/>
        <sz val="10"/>
        <rFont val="Arial"/>
        <family val="2"/>
      </rPr>
      <t>Ed,max</t>
    </r>
  </si>
  <si>
    <t>MN/m²</t>
  </si>
  <si>
    <r>
      <t>h</t>
    </r>
    <r>
      <rPr>
        <vertAlign val="subscript"/>
        <sz val="10"/>
        <rFont val="Arial"/>
        <family val="2"/>
      </rPr>
      <t>e</t>
    </r>
  </si>
  <si>
    <t>Einwirkungen Bemessungswerte Normalkraft max</t>
  </si>
  <si>
    <t>Einwirkungen Bemessungswerte Normalkraft min</t>
  </si>
  <si>
    <t>untere Grenzlast</t>
  </si>
  <si>
    <t>obere Grenzlast</t>
  </si>
  <si>
    <t>Ermittlung der Grenzwerte</t>
  </si>
  <si>
    <r>
      <t>h</t>
    </r>
    <r>
      <rPr>
        <vertAlign val="subscript"/>
        <sz val="10"/>
        <rFont val="Arial"/>
        <family val="2"/>
      </rPr>
      <t>min</t>
    </r>
  </si>
  <si>
    <r>
      <t>h</t>
    </r>
    <r>
      <rPr>
        <vertAlign val="subscript"/>
        <sz val="10"/>
        <rFont val="Arial"/>
        <family val="2"/>
      </rPr>
      <t>max</t>
    </r>
  </si>
  <si>
    <r>
      <rPr>
        <sz val="10"/>
        <rFont val="Symbol"/>
        <family val="1"/>
        <charset val="2"/>
      </rPr>
      <t>g</t>
    </r>
    <r>
      <rPr>
        <vertAlign val="subscript"/>
        <sz val="10"/>
        <rFont val="Arial"/>
        <family val="2"/>
      </rPr>
      <t>E</t>
    </r>
  </si>
  <si>
    <t>Einwirkungen Bemessungswerte Normalkraft</t>
  </si>
  <si>
    <t>Erddruck</t>
  </si>
  <si>
    <t>h_e</t>
  </si>
  <si>
    <t>Auflast</t>
  </si>
  <si>
    <t>Sicherheitsbeiwert Auflast</t>
  </si>
  <si>
    <t>Sicherheitsbeiwert Bodengew.</t>
  </si>
  <si>
    <t>Beiwert aktiver Erddruck</t>
  </si>
  <si>
    <t>Erddruck aktiv oben</t>
  </si>
  <si>
    <t>Erddruck aktiv Zuwachs</t>
  </si>
  <si>
    <t>Beiwert Erdruhedruck</t>
  </si>
  <si>
    <t>Erdruhedruck oben</t>
  </si>
  <si>
    <t>Erdruhedruck Zuwachs</t>
  </si>
  <si>
    <t>Bem.wert Erddruck oben</t>
  </si>
  <si>
    <t>p_c</t>
  </si>
  <si>
    <t>Bem.wert Erddruck Zuwachs</t>
  </si>
  <si>
    <t>p_a</t>
  </si>
  <si>
    <t>Normalkraft halbe Anschütthöhe</t>
  </si>
  <si>
    <t>n_1dinf</t>
  </si>
  <si>
    <t>unterer Grenzwert Bogenwirkung</t>
  </si>
  <si>
    <t>n_1limd</t>
  </si>
  <si>
    <t>EC6 NA (NA.26)</t>
  </si>
  <si>
    <t>oberer Grenzwert Materialfest.</t>
  </si>
  <si>
    <t>n_1Rd</t>
  </si>
  <si>
    <t>EC6 NA (NA.27)</t>
  </si>
  <si>
    <t>Einwirkungen Biegemoment bzw. Querkraft</t>
  </si>
  <si>
    <t>Verh. Anschütth/Wandh.</t>
  </si>
  <si>
    <t>Auflagerkraft unten p_c</t>
  </si>
  <si>
    <t>A_c</t>
  </si>
  <si>
    <t>siehe Anlage/Bautabellen</t>
  </si>
  <si>
    <t>Auflagerkraft unten p_a</t>
  </si>
  <si>
    <t>A_a</t>
  </si>
  <si>
    <t>Auflager- bzw. Querkraft unten</t>
  </si>
  <si>
    <t>V_Ed</t>
  </si>
  <si>
    <t>Last in halber Wandhöhe</t>
  </si>
  <si>
    <t>p_m</t>
  </si>
  <si>
    <t>Biegemoment Feldmitte</t>
  </si>
  <si>
    <t>M_Ed</t>
  </si>
  <si>
    <t>kNm/m</t>
  </si>
  <si>
    <t>nur Informativ</t>
  </si>
  <si>
    <t>Widerstand Querkraft</t>
  </si>
  <si>
    <t>Haftscherfestigkeit</t>
  </si>
  <si>
    <t>f_vk0</t>
  </si>
  <si>
    <t>EC6 NA Tab. NA.11</t>
  </si>
  <si>
    <t>Exz. Normalkraft Bogenmodell</t>
  </si>
  <si>
    <t>e_max</t>
  </si>
  <si>
    <t>EC6 Bild 6.3, (6.17)</t>
  </si>
  <si>
    <t>überdrückte Dicke Wand</t>
  </si>
  <si>
    <t>t_clin</t>
  </si>
  <si>
    <t>EC6 NA (NA.25)</t>
  </si>
  <si>
    <t>rechn. Wanddicke</t>
  </si>
  <si>
    <t>t_cal</t>
  </si>
  <si>
    <t>EC6 NA (NA.24)</t>
  </si>
  <si>
    <t>Druckspannung</t>
  </si>
  <si>
    <t>σ_D</t>
  </si>
  <si>
    <t>Schubfestigkeit</t>
  </si>
  <si>
    <t>f_vd</t>
  </si>
  <si>
    <t>EC6 NA (NA.6/7)</t>
  </si>
  <si>
    <t>Schubverteilungswert</t>
  </si>
  <si>
    <t>c</t>
  </si>
  <si>
    <t>Aufnehmbare Schubkraft</t>
  </si>
  <si>
    <t>V_Rdlt</t>
  </si>
  <si>
    <t>e_m</t>
  </si>
  <si>
    <t>Bemessungswert Druckspannung</t>
  </si>
  <si>
    <t>Begriffe: "horizontal"--&gt; Bruchebene parallel zu Lagerfugen</t>
  </si>
  <si>
    <t>"vertikal"--&gt; Bruchebene senkrecht zu Lagerfugen, vgl. EC6 3.6.3</t>
  </si>
  <si>
    <t>Nachweis Kellerwand 'Bauzustand' über Biegung</t>
  </si>
  <si>
    <t>l</t>
  </si>
  <si>
    <t>Überbindemaß zu Steinhöhe</t>
  </si>
  <si>
    <t>EC6 8.1.4.1</t>
  </si>
  <si>
    <t>Biegefestigkeit horizontal 1</t>
  </si>
  <si>
    <t>f_xk2</t>
  </si>
  <si>
    <t>EC6 NA 3.6.3 (NA.8)</t>
  </si>
  <si>
    <t>Steinfestigkeit</t>
  </si>
  <si>
    <t>f_st/b</t>
  </si>
  <si>
    <t>EC6 NA 3.6.1 Tab. NA.3</t>
  </si>
  <si>
    <t>Steinzugfestigkeit</t>
  </si>
  <si>
    <t>f_btcal</t>
  </si>
  <si>
    <r>
      <t xml:space="preserve">EC6 NA 3.6.2 Gl.(NA.5) </t>
    </r>
    <r>
      <rPr>
        <b/>
        <sz val="10"/>
        <rFont val="Arial"/>
        <family val="2"/>
      </rPr>
      <t>Vollsteine!</t>
    </r>
  </si>
  <si>
    <t>Biegefestigkeit horizontal 2</t>
  </si>
  <si>
    <t>EC6 NA 3.6.3 (NA.9)</t>
  </si>
  <si>
    <t>Bemessungswert Biegezugfestigkeit</t>
  </si>
  <si>
    <t>f_xd</t>
  </si>
  <si>
    <t>EC6 (NDP) zu 3.6.3(3) b)</t>
  </si>
  <si>
    <t>Elast. Widerstandsmoment</t>
  </si>
  <si>
    <t>Z</t>
  </si>
  <si>
    <t>Aufnehmbares Moment vertikal</t>
  </si>
  <si>
    <t>M_Rd</t>
  </si>
  <si>
    <t>EC6 6.3.1 (6.15)</t>
  </si>
  <si>
    <t>Nachweis mit Lastexzentrizitäten - Standardverfahren</t>
  </si>
  <si>
    <t>vorher. Blatt</t>
  </si>
  <si>
    <t>N_o</t>
  </si>
  <si>
    <t>N_u</t>
  </si>
  <si>
    <t xml:space="preserve">Biegesteifigkeit Betondecke </t>
  </si>
  <si>
    <t>E-Modul</t>
  </si>
  <si>
    <t>E_cm</t>
  </si>
  <si>
    <t xml:space="preserve">C25/30 EC2 Tab. 3.1 </t>
  </si>
  <si>
    <t>Festigkeit / Biegesteifigkeit MW</t>
  </si>
  <si>
    <t>f_st</t>
  </si>
  <si>
    <t>EC6 NA Tab. NA.3</t>
  </si>
  <si>
    <t>Mörtelfestigkeit</t>
  </si>
  <si>
    <t>f_m</t>
  </si>
  <si>
    <t>EC6 NA Tab. NA.2MGII</t>
  </si>
  <si>
    <t>EC6 NA Tab. NA.4</t>
  </si>
  <si>
    <t>α</t>
  </si>
  <si>
    <t>β</t>
  </si>
  <si>
    <t>Mauerwerksfestigkeit</t>
  </si>
  <si>
    <t>EC6 (3.1)</t>
  </si>
  <si>
    <t>Beiwert E-Modul</t>
  </si>
  <si>
    <t>K_E</t>
  </si>
  <si>
    <t>EC6 NA Tab. NA.12</t>
  </si>
  <si>
    <t>E_m</t>
  </si>
  <si>
    <t>EC6 3.7.2 (2)</t>
  </si>
  <si>
    <t>Ersatzrahmen für Decke über EG mit c_o/c_u-Verfahren</t>
  </si>
  <si>
    <t>c_o</t>
  </si>
  <si>
    <t>c_u</t>
  </si>
  <si>
    <t>Vollast Decke</t>
  </si>
  <si>
    <t>q</t>
  </si>
  <si>
    <t>Volleinspannmoment</t>
  </si>
  <si>
    <t>M_b0</t>
  </si>
  <si>
    <t>q*l^2/12</t>
  </si>
  <si>
    <t>Veränderl. Last Decke</t>
  </si>
  <si>
    <t>p</t>
  </si>
  <si>
    <t>Wandmoment OG1 unt</t>
  </si>
  <si>
    <t>M_c,o</t>
  </si>
  <si>
    <t>Wandmoment EG oben</t>
  </si>
  <si>
    <t>M_c,u</t>
  </si>
  <si>
    <t>Wandmoment EG unten</t>
  </si>
  <si>
    <t>Wandmoment EG Mitte</t>
  </si>
  <si>
    <t>EC6 NA NA.C (3)</t>
  </si>
  <si>
    <t>Lastexzentrizitäten Wand EG</t>
  </si>
  <si>
    <t>ungewollte Ausmitte</t>
  </si>
  <si>
    <t>e_init</t>
  </si>
  <si>
    <t>EC6 5.5.1.1(4)</t>
  </si>
  <si>
    <t>hor. Lasten</t>
  </si>
  <si>
    <t>e_hm</t>
  </si>
  <si>
    <t>Lastexz. oben</t>
  </si>
  <si>
    <t>e_i</t>
  </si>
  <si>
    <t>EC6 (6.5)</t>
  </si>
  <si>
    <t>Lastexz. unten</t>
  </si>
  <si>
    <t>Lastexz. Mitte 1</t>
  </si>
  <si>
    <t>EC6 (6.7)</t>
  </si>
  <si>
    <t>Endkriechwert</t>
  </si>
  <si>
    <t>φ</t>
  </si>
  <si>
    <t>EC6 NA Tab. NA.13</t>
  </si>
  <si>
    <t>Kriechausmitte</t>
  </si>
  <si>
    <t>e_k</t>
  </si>
  <si>
    <t>EC6 (6.8)</t>
  </si>
  <si>
    <t>Lastexz. Mitte 2</t>
  </si>
  <si>
    <t>e_mk</t>
  </si>
  <si>
    <t>EC6 (6.4)</t>
  </si>
  <si>
    <t>As</t>
  </si>
  <si>
    <t>cm²</t>
  </si>
  <si>
    <t>kN/cm²</t>
  </si>
  <si>
    <t>cm</t>
  </si>
  <si>
    <t>z/d</t>
  </si>
  <si>
    <t>kNm</t>
  </si>
  <si>
    <t>ω</t>
  </si>
  <si>
    <t>μ</t>
  </si>
  <si>
    <t xml:space="preserve">Beispiel bewehrtes Mauerwerk </t>
  </si>
  <si>
    <t>zugrundeliegende Mauerwerksnorm DIN EN 1996-1-1 (EC6)</t>
  </si>
  <si>
    <r>
      <t>f</t>
    </r>
    <r>
      <rPr>
        <vertAlign val="subscript"/>
        <sz val="10"/>
        <rFont val="Arial"/>
        <family val="2"/>
      </rPr>
      <t>yd</t>
    </r>
  </si>
  <si>
    <t>Breite</t>
  </si>
  <si>
    <t>Nutzhöhe</t>
  </si>
  <si>
    <t>Bewehrung</t>
  </si>
  <si>
    <t>Bemessungswerte</t>
  </si>
  <si>
    <t>EC 6</t>
  </si>
  <si>
    <r>
      <rPr>
        <sz val="10"/>
        <rFont val="Calibri"/>
        <family val="2"/>
      </rPr>
      <t>ω</t>
    </r>
    <r>
      <rPr>
        <sz val="10"/>
        <rFont val="Arial"/>
        <family val="2"/>
      </rPr>
      <t>-Verfahren</t>
    </r>
  </si>
  <si>
    <t>Beispiel</t>
  </si>
  <si>
    <t>N</t>
  </si>
  <si>
    <t>w</t>
  </si>
  <si>
    <t>PP2 + DM</t>
  </si>
  <si>
    <r>
      <t>M</t>
    </r>
    <r>
      <rPr>
        <vertAlign val="subscript"/>
        <sz val="10"/>
        <rFont val="Arial"/>
        <family val="2"/>
      </rPr>
      <t>Rd</t>
    </r>
  </si>
  <si>
    <r>
      <t>s</t>
    </r>
    <r>
      <rPr>
        <vertAlign val="subscript"/>
        <sz val="10"/>
        <rFont val="Arial"/>
        <family val="2"/>
      </rPr>
      <t>s</t>
    </r>
  </si>
  <si>
    <t>erfAs</t>
  </si>
  <si>
    <t>vorhAs</t>
  </si>
  <si>
    <r>
      <t>M</t>
    </r>
    <r>
      <rPr>
        <vertAlign val="subscript"/>
        <sz val="10"/>
        <rFont val="Arial"/>
        <family val="2"/>
      </rPr>
      <t>s</t>
    </r>
  </si>
  <si>
    <t>Bemessng nach DIN EN 1996-1-1 (EC6)</t>
  </si>
  <si>
    <r>
      <t>Beachte: Hier wurde nur der Lastfall max N</t>
    </r>
    <r>
      <rPr>
        <b/>
        <vertAlign val="subscript"/>
        <sz val="10"/>
        <color rgb="FFFF0000"/>
        <rFont val="Arial"/>
        <family val="2"/>
      </rPr>
      <t>Ed</t>
    </r>
    <r>
      <rPr>
        <b/>
        <sz val="10"/>
        <color rgb="FFFF0000"/>
        <rFont val="Arial"/>
        <family val="2"/>
      </rPr>
      <t xml:space="preserve"> untersucht.</t>
    </r>
  </si>
  <si>
    <t>Beachte: Hier wurde die Teilsicherheitsbeiwerte nicht gemäß NA verwendet, sondern analog zum EC 2.</t>
  </si>
  <si>
    <r>
      <t>M</t>
    </r>
    <r>
      <rPr>
        <vertAlign val="subscript"/>
        <sz val="10"/>
        <rFont val="Arial"/>
        <family val="2"/>
      </rPr>
      <t>Ed</t>
    </r>
  </si>
  <si>
    <r>
      <t>maxM</t>
    </r>
    <r>
      <rPr>
        <vertAlign val="subscript"/>
        <sz val="10"/>
        <rFont val="Arial"/>
        <family val="2"/>
      </rPr>
      <t>Rd</t>
    </r>
  </si>
  <si>
    <t>Annahme</t>
  </si>
  <si>
    <t>Bemessungswert Tragwiderstand Wandmitte</t>
  </si>
  <si>
    <t>Moment infolge Wind</t>
  </si>
  <si>
    <t>Windlast</t>
  </si>
  <si>
    <r>
      <t>M</t>
    </r>
    <r>
      <rPr>
        <vertAlign val="subscript"/>
        <sz val="10"/>
        <rFont val="Arial"/>
        <family val="2"/>
      </rPr>
      <t>w,Ek</t>
    </r>
  </si>
  <si>
    <r>
      <t>M</t>
    </r>
    <r>
      <rPr>
        <vertAlign val="subscript"/>
        <sz val="10"/>
        <rFont val="Arial"/>
        <family val="2"/>
      </rPr>
      <t>w,Ed</t>
    </r>
  </si>
  <si>
    <r>
      <t>w</t>
    </r>
    <r>
      <rPr>
        <vertAlign val="subscript"/>
        <sz val="10"/>
        <rFont val="Arial"/>
        <family val="2"/>
      </rPr>
      <t>Ek</t>
    </r>
  </si>
  <si>
    <t xml:space="preserve">Erhöhung der Einzugsfläche </t>
  </si>
  <si>
    <t>z.B. Fensterflächen</t>
  </si>
  <si>
    <t>Moment infolge Windlast</t>
  </si>
  <si>
    <t>von der Möglichkeit der Verteilung auf die Einspannung wird hier nicht Gebrauch gemacht</t>
  </si>
  <si>
    <t>Wandmoment Mitte</t>
  </si>
  <si>
    <t>Nachweis Kellerwand über vertikalen Bogen</t>
  </si>
  <si>
    <t>k_e</t>
  </si>
  <si>
    <r>
      <t>minN</t>
    </r>
    <r>
      <rPr>
        <vertAlign val="subscript"/>
        <sz val="10"/>
        <rFont val="Arial"/>
        <family val="2"/>
      </rPr>
      <t>Ed</t>
    </r>
  </si>
  <si>
    <t>k_0</t>
  </si>
  <si>
    <t>Nachweis genaueres Verfahren</t>
  </si>
  <si>
    <t>vermörtelte Stoßfugen</t>
  </si>
  <si>
    <t>m³/m</t>
  </si>
  <si>
    <t>Teilsicherheitsbeiwert ständig günstig wirkend</t>
  </si>
  <si>
    <t>Verhältnis h/l</t>
  </si>
  <si>
    <t>=&gt; keine Lastabtrag gleichzeitig vertikal und horizontal</t>
  </si>
  <si>
    <t>Prüfen ob zweiachsialer Lastabtrag möglich ist</t>
  </si>
  <si>
    <t>&gt;1,0 !</t>
  </si>
  <si>
    <t>Mindestauflast nicht erreicht</t>
  </si>
  <si>
    <t>Nachweis über horizontale Biegung</t>
  </si>
  <si>
    <t>Beachte: Es ist zu prüfen, ob der Querschnitt ungerissen ist. Sonst kann die Haftscherfestigkeit nicht angesetzt werden.</t>
  </si>
  <si>
    <t>l_ol/h_u</t>
  </si>
  <si>
    <t>Moment bei horizontalem Lastabtrag</t>
  </si>
  <si>
    <t>!!!</t>
  </si>
  <si>
    <t>m_Ed</t>
  </si>
  <si>
    <t>v. Annhame Biegung über Anschütthöhe verschmiert</t>
  </si>
  <si>
    <r>
      <t>ϕ</t>
    </r>
    <r>
      <rPr>
        <vertAlign val="subscript"/>
        <sz val="10"/>
        <rFont val="Arial"/>
        <family val="2"/>
      </rPr>
      <t>1</t>
    </r>
  </si>
  <si>
    <r>
      <t>ϕ</t>
    </r>
    <r>
      <rPr>
        <vertAlign val="subscript"/>
        <sz val="10"/>
        <rFont val="Arial"/>
        <family val="2"/>
      </rPr>
      <t>m/2</t>
    </r>
  </si>
  <si>
    <r>
      <t>N</t>
    </r>
    <r>
      <rPr>
        <vertAlign val="subscript"/>
        <sz val="10"/>
        <rFont val="Arial"/>
        <family val="2"/>
      </rPr>
      <t>Rd,2</t>
    </r>
  </si>
  <si>
    <t>Nachweis Kellerwand über genaues Verfahren</t>
  </si>
  <si>
    <t>Last aus Verformung nach Th II. O. muss nicht berücksichtigt werden.</t>
  </si>
  <si>
    <t>&lt; 1,0</t>
  </si>
  <si>
    <t>EC6 (5.1)</t>
  </si>
  <si>
    <r>
      <t xml:space="preserve">Vorhanden </t>
    </r>
    <r>
      <rPr>
        <sz val="10"/>
        <rFont val="Arial"/>
        <family val="2"/>
      </rPr>
      <t>α</t>
    </r>
  </si>
  <si>
    <r>
      <t xml:space="preserve">Grenzwert </t>
    </r>
    <r>
      <rPr>
        <sz val="10"/>
        <rFont val="Arial"/>
        <family val="2"/>
      </rPr>
      <t>α</t>
    </r>
  </si>
  <si>
    <t>Anzahl Geschosse n</t>
  </si>
  <si>
    <t>Gebäudehöhe ab OK Fundament h_ges</t>
  </si>
  <si>
    <t>vor. Blatt</t>
  </si>
  <si>
    <t>Elastizitätsmodul E</t>
  </si>
  <si>
    <r>
      <t>m</t>
    </r>
    <r>
      <rPr>
        <vertAlign val="superscript"/>
        <sz val="10"/>
        <rFont val="Arial"/>
        <family val="2"/>
      </rPr>
      <t>4</t>
    </r>
  </si>
  <si>
    <t>Maßgebendes Flächenträgheitsmoment J</t>
  </si>
  <si>
    <t>Nachweis räumliche Steifigkeit</t>
  </si>
  <si>
    <t>Globales Flächenträgheitsmoment um y</t>
  </si>
  <si>
    <t>Globales Flächenträgheitsmoment um x</t>
  </si>
  <si>
    <t>2. Schwerpunktskoordinate y</t>
  </si>
  <si>
    <t>2. Schwerpunktskoordinate x</t>
  </si>
  <si>
    <t>Eigen-Flächenträgheitsmoment um y</t>
  </si>
  <si>
    <t>Eigen-Flächenträgheitsmoment um x</t>
  </si>
  <si>
    <t>1. Schwerpunktskoordinate y</t>
  </si>
  <si>
    <t>1. Schwerpunktskoordinate x</t>
  </si>
  <si>
    <t>Länge y</t>
  </si>
  <si>
    <t>Länge x</t>
  </si>
  <si>
    <t>Summe</t>
  </si>
  <si>
    <t>S5</t>
  </si>
  <si>
    <t>S4</t>
  </si>
  <si>
    <t>S3</t>
  </si>
  <si>
    <t>Flächenträgheitsmomente</t>
  </si>
  <si>
    <t>MN</t>
  </si>
  <si>
    <t>N_k</t>
  </si>
  <si>
    <t>Veränderliche akkumuliert</t>
  </si>
  <si>
    <t>Veränderliche</t>
  </si>
  <si>
    <t>Ständige akkumuliert</t>
  </si>
  <si>
    <t>davon Wände</t>
  </si>
  <si>
    <t>Ständige</t>
  </si>
  <si>
    <t>Charakteristische Vertikallasten OK Mauerwerk</t>
  </si>
  <si>
    <t>Räumliche Steifigkeit</t>
  </si>
  <si>
    <t>Sicherheitskonzept DIN EN 1990 + NA</t>
  </si>
  <si>
    <t>Beachte: Hier wurde auf der sicheren Seite gerechnet. Die veränderlichen Lasten sind bei der Schiefstellung berücksichtigt, bei der Normalkraft aber nicht.</t>
  </si>
  <si>
    <t>mm</t>
  </si>
  <si>
    <t>rechn. "Klaffung"</t>
  </si>
  <si>
    <t>Strahlensatz; &lt;1.e-4</t>
  </si>
  <si>
    <t>Rechn. Randdehnung Zugseite</t>
  </si>
  <si>
    <t>σ_r / E</t>
  </si>
  <si>
    <t>Randdehnung Druckseite</t>
  </si>
  <si>
    <t>EC6 NA 7.2 (NA.10)</t>
  </si>
  <si>
    <t>E</t>
  </si>
  <si>
    <t>vor.her. Blatt</t>
  </si>
  <si>
    <t>Char. Festigkeit MW</t>
  </si>
  <si>
    <t>2 * N /( d x l_c )</t>
  </si>
  <si>
    <t>Randspannung Druckseite</t>
  </si>
  <si>
    <r>
      <t>Randdehnungen</t>
    </r>
    <r>
      <rPr>
        <sz val="10"/>
        <rFont val="Arial"/>
        <family val="2"/>
      </rPr>
      <t xml:space="preserve"> (</t>
    </r>
    <r>
      <rPr>
        <u/>
        <sz val="10"/>
        <rFont val="Arial"/>
        <family val="2"/>
      </rPr>
      <t>nur im Fall klaffender Fuge</t>
    </r>
    <r>
      <rPr>
        <sz val="10"/>
        <rFont val="Arial"/>
        <family val="2"/>
      </rPr>
      <t>)</t>
    </r>
  </si>
  <si>
    <t>m^2</t>
  </si>
  <si>
    <t>Überdrückte Fläche</t>
  </si>
  <si>
    <t>MIN(1,5 x (l-2e);l)</t>
  </si>
  <si>
    <t>l'_w</t>
  </si>
  <si>
    <t>Überdrückte Länge</t>
  </si>
  <si>
    <t>l_w/e</t>
  </si>
  <si>
    <t>bezogene Exzentrizität</t>
  </si>
  <si>
    <t>e</t>
  </si>
  <si>
    <t>Exzentrizität</t>
  </si>
  <si>
    <t>Spannungsverteilung</t>
  </si>
  <si>
    <t>MNm</t>
  </si>
  <si>
    <t>Moment akkumuliert</t>
  </si>
  <si>
    <t>Moment</t>
  </si>
  <si>
    <t>N_Ed</t>
  </si>
  <si>
    <t>Normalkraft</t>
  </si>
  <si>
    <t>Beiwert Wind</t>
  </si>
  <si>
    <t>Beiwert veränderliche Last</t>
  </si>
  <si>
    <t>Beiwert ständige Last</t>
  </si>
  <si>
    <t>Char. Einwirkungskombination</t>
  </si>
  <si>
    <t>Randdehnung</t>
  </si>
  <si>
    <t>V_Rd</t>
  </si>
  <si>
    <t>EC6 NA Tab. NA.1</t>
  </si>
  <si>
    <t>γ_m</t>
  </si>
  <si>
    <t>Sicherheitsbeiwert</t>
  </si>
  <si>
    <t>EC6 NA NDP zu 3.6.2(3)</t>
  </si>
  <si>
    <t>f_vlt</t>
  </si>
  <si>
    <t>char. Schubfestigkeit</t>
  </si>
  <si>
    <t>EC6 NA 3.6.2 Gl.(NA.5)</t>
  </si>
  <si>
    <t>f_vlt2</t>
  </si>
  <si>
    <t>Schubfestigkeit 2</t>
  </si>
  <si>
    <t>EC6 NA 3.6.2 Gl.(NA.4)</t>
  </si>
  <si>
    <t>f_vlt1</t>
  </si>
  <si>
    <t>Schubfestigkeit 1</t>
  </si>
  <si>
    <t>EC6 NA 3.6.2 Tab. NA.11</t>
  </si>
  <si>
    <t>EC6 NA 6.2 Gl.(NA.19)</t>
  </si>
  <si>
    <t>Verteilungsfaktor Schub</t>
  </si>
  <si>
    <t>N_Ed / A_c</t>
  </si>
  <si>
    <t>σ_Dd</t>
  </si>
  <si>
    <t>l_c x d</t>
  </si>
  <si>
    <t>überdrückte Fläche</t>
  </si>
  <si>
    <t>l_cal</t>
  </si>
  <si>
    <t>rechn. Länge</t>
  </si>
  <si>
    <t>e &gt; l/6, 1,5 x (l-2e)</t>
  </si>
  <si>
    <t>l_c</t>
  </si>
  <si>
    <t>überdrückte Länge</t>
  </si>
  <si>
    <t>4,625+2*0,24</t>
  </si>
  <si>
    <t>Wandlänge</t>
  </si>
  <si>
    <t>M_Ed / N_Ed</t>
  </si>
  <si>
    <t>V_ed</t>
  </si>
  <si>
    <t>Querkraft</t>
  </si>
  <si>
    <t>EC0</t>
  </si>
  <si>
    <t>Teilsicherheitsbeiwert Wind</t>
  </si>
  <si>
    <t>Teilsicherheitsbeiwert veränderlich</t>
  </si>
  <si>
    <t>Teilsicherheitsbeiwert ständige</t>
  </si>
  <si>
    <t>Schnittkräfte UK EG</t>
  </si>
  <si>
    <t>Hebelarm bez. UK EG</t>
  </si>
  <si>
    <t>Geschosshöhe</t>
  </si>
  <si>
    <t>Nebenrechnung</t>
  </si>
  <si>
    <t>Anteil Horizontalkraft</t>
  </si>
  <si>
    <t>Anteil Normalkraft veränd.</t>
  </si>
  <si>
    <t>Anteil Normalkraft ständig</t>
  </si>
  <si>
    <t>Einwirkungen S4</t>
  </si>
  <si>
    <t>Last akkumuliert</t>
  </si>
  <si>
    <t>Last</t>
  </si>
  <si>
    <t>Einzugshöhe</t>
  </si>
  <si>
    <t>Nebenrechnung nach EC1</t>
  </si>
  <si>
    <t>Bemessungswert Wind</t>
  </si>
  <si>
    <t>Gebäudebreite</t>
  </si>
  <si>
    <t>Charakteristische Windlast</t>
  </si>
  <si>
    <t>EC6 5.3 (2)</t>
  </si>
  <si>
    <t>Schiefstellung</t>
  </si>
  <si>
    <t>Gebäudehöhe</t>
  </si>
  <si>
    <t>Charakteristische Schiefstellungslasten OK Mauwerk</t>
  </si>
  <si>
    <t>Summe charakteristischer Vertikallasten</t>
  </si>
  <si>
    <r>
      <t>Position S4, Einwirkung in x-Richtung,</t>
    </r>
    <r>
      <rPr>
        <b/>
        <sz val="10"/>
        <rFont val="Arial"/>
        <family val="2"/>
      </rPr>
      <t xml:space="preserve"> Aussteifung, Horizontalkräfte</t>
    </r>
  </si>
  <si>
    <t xml:space="preserve">Position S4 </t>
  </si>
  <si>
    <r>
      <t>h</t>
    </r>
    <r>
      <rPr>
        <vertAlign val="subscript"/>
        <sz val="10"/>
        <rFont val="Arial"/>
        <family val="2"/>
      </rPr>
      <t>ges</t>
    </r>
    <r>
      <rPr>
        <sz val="10"/>
        <rFont val="Arial"/>
      </rPr>
      <t xml:space="preserve"> </t>
    </r>
    <r>
      <rPr>
        <sz val="10"/>
        <rFont val="Arial"/>
        <family val="2"/>
      </rPr>
      <t>√N</t>
    </r>
    <r>
      <rPr>
        <vertAlign val="subscript"/>
        <sz val="10"/>
        <rFont val="Arial"/>
        <family val="2"/>
      </rPr>
      <t>k</t>
    </r>
    <r>
      <rPr>
        <sz val="10"/>
        <rFont val="Arial"/>
        <family val="2"/>
      </rPr>
      <t>/EJ</t>
    </r>
  </si>
  <si>
    <t>N_Rdc</t>
  </si>
  <si>
    <t>Bem. Wert Festigkeit Mauerwerk</t>
  </si>
  <si>
    <t>EC6/NA Gl. (NA 17)</t>
  </si>
  <si>
    <t>Erhöhungsfaktor randnahe Last</t>
  </si>
  <si>
    <t>EC6 Gl. (6.11)</t>
  </si>
  <si>
    <t>Erhöhungsfaktor</t>
  </si>
  <si>
    <t>Längenverhältnis a_1/h_c</t>
  </si>
  <si>
    <t>Flächenverhältnis A_b/A_ef</t>
  </si>
  <si>
    <t>Zulässige Last unter Auflager</t>
  </si>
  <si>
    <t>A_ef</t>
  </si>
  <si>
    <t>Wirksame Wandfläche</t>
  </si>
  <si>
    <t>l_efm</t>
  </si>
  <si>
    <t>Wirksame Länge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</si>
  <si>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h</t>
    </r>
  </si>
  <si>
    <t>h_c</t>
  </si>
  <si>
    <t>Höhenkote</t>
  </si>
  <si>
    <t>A_b</t>
  </si>
  <si>
    <t>belastete Fläche</t>
  </si>
  <si>
    <t>&lt; 3* l_1 = 0,57 =&gt; randnah</t>
  </si>
  <si>
    <t>a_1</t>
  </si>
  <si>
    <t>Seitl. Randabstand</t>
  </si>
  <si>
    <t>Beachte: bei randnahen Lasten &lt; t/6</t>
  </si>
  <si>
    <t>&lt; t/4 EC6 Bild 6.2</t>
  </si>
  <si>
    <t>l_1</t>
  </si>
  <si>
    <t>Auflager</t>
  </si>
  <si>
    <t>Geometrie</t>
  </si>
  <si>
    <t>N_Edc</t>
  </si>
  <si>
    <t>Bemessungswert Einwirkung</t>
  </si>
  <si>
    <t>Veränderliche Last</t>
  </si>
  <si>
    <t>Ständige Last</t>
  </si>
  <si>
    <t>Belastung</t>
  </si>
  <si>
    <r>
      <t>Treppenauflager,</t>
    </r>
    <r>
      <rPr>
        <b/>
        <sz val="10"/>
        <rFont val="Arial"/>
        <family val="2"/>
      </rPr>
      <t xml:space="preserve"> Nachweis Teilflächenlasten</t>
    </r>
  </si>
  <si>
    <t>Beachte: Grenadierschicht nur in scheitrechter Ausführung möglich.</t>
  </si>
  <si>
    <t>Verankerungslänge wie bei Stahlbetonbewehrung!</t>
  </si>
  <si>
    <t>2 Ø 8</t>
  </si>
  <si>
    <t xml:space="preserve">gew. Bew </t>
  </si>
  <si>
    <t>EC6 (6.22)</t>
  </si>
  <si>
    <t>A_s</t>
  </si>
  <si>
    <t>erf. Bewehrung</t>
  </si>
  <si>
    <t>f_yd</t>
  </si>
  <si>
    <t>Bem.festigkeit Bewehrung</t>
  </si>
  <si>
    <t>EC6 (6.32)</t>
  </si>
  <si>
    <t>maxM_Rd</t>
  </si>
  <si>
    <t>Widerstand 1</t>
  </si>
  <si>
    <t>EC6 (6.31)</t>
  </si>
  <si>
    <t>EC6 (6.29/30)</t>
  </si>
  <si>
    <t>Hebelarm</t>
  </si>
  <si>
    <t>Einwirkendes Moment</t>
  </si>
  <si>
    <t>Lichte Höhe</t>
  </si>
  <si>
    <t>EC6 (5.12)</t>
  </si>
  <si>
    <t>l_ef</t>
  </si>
  <si>
    <t>effektive Stützweite</t>
  </si>
  <si>
    <t>Flachsturz</t>
  </si>
  <si>
    <t>Widerstand Horizontalkraft</t>
  </si>
  <si>
    <t>EC6 NA NDP 6.3.2(3)</t>
  </si>
  <si>
    <r>
      <t xml:space="preserve">EC6 NA (NA.5) </t>
    </r>
    <r>
      <rPr>
        <b/>
        <sz val="10"/>
        <rFont val="Arial"/>
        <family val="2"/>
      </rPr>
      <t>Vollsteine!</t>
    </r>
  </si>
  <si>
    <t>Widerstand Querkraft / Bogenschub</t>
  </si>
  <si>
    <t>EC6 NA (NA.19)</t>
  </si>
  <si>
    <t>wenn e &gt; l/6, 1,5 x (l-2e), sonst l</t>
  </si>
  <si>
    <t>Spannungsverteilung Sohle Seitenpfeiler</t>
  </si>
  <si>
    <t>Beachte: Hier vereinfachte Annahme als gleichmäßig voll überdrückter Querschnitt.</t>
  </si>
  <si>
    <t>f_d x d x h</t>
  </si>
  <si>
    <t>N_Rd</t>
  </si>
  <si>
    <t>Widerstand Bogennormalkraft</t>
  </si>
  <si>
    <t>Beachte: Horizontale Druckfestigkeit. Hier Annahme Vollsteine mit vermörtelten Stoßfugen.</t>
  </si>
  <si>
    <t>Bem.wert Druckfestigkeit</t>
  </si>
  <si>
    <t>Widerstand Bogendruck</t>
  </si>
  <si>
    <t>Scheibenhorizontalkraft</t>
  </si>
  <si>
    <t>Scheibenmoment</t>
  </si>
  <si>
    <t>Summe Normalkraft</t>
  </si>
  <si>
    <t>N_Ed2</t>
  </si>
  <si>
    <t>Normalkraft exzentrisch</t>
  </si>
  <si>
    <t>N_Ed1</t>
  </si>
  <si>
    <t>Normalkraft zentrisch</t>
  </si>
  <si>
    <t>Seitenpfeilerkräfte</t>
  </si>
  <si>
    <t>Skript Gl.(8.6)            "</t>
  </si>
  <si>
    <t>max. Bogennormalkraft</t>
  </si>
  <si>
    <t>Skript Gl.(8.4)            "</t>
  </si>
  <si>
    <t>Horizontalkraft</t>
  </si>
  <si>
    <t>Skript Gl.(8.3) Zelle D4 (Flächengewicht!) vernachlässigt</t>
  </si>
  <si>
    <t>Vertikalkraft</t>
  </si>
  <si>
    <t>Bogenkräfte</t>
  </si>
  <si>
    <t>aus Aufriss</t>
  </si>
  <si>
    <t>h_p</t>
  </si>
  <si>
    <t>Seitenpfeilerhöhe</t>
  </si>
  <si>
    <t>aus Grundriss</t>
  </si>
  <si>
    <t>l_p</t>
  </si>
  <si>
    <t>Seitenpfeilerlänge</t>
  </si>
  <si>
    <t>Höhe Grenadierschicht</t>
  </si>
  <si>
    <t>Bogenquerschnittshöhe</t>
  </si>
  <si>
    <t>Annahme UK Grenadierschicht (UK als Bogen; wenn UK gerade, dann Stich f &lt; h und klaffende Fuge mit Spannungsblock mit Breite 2(h-f), tritt hier nicht auf)</t>
  </si>
  <si>
    <t>f/l</t>
  </si>
  <si>
    <t>Stichverhältnis</t>
  </si>
  <si>
    <t>Bogenspannweite</t>
  </si>
  <si>
    <t>Auflast Bogen einschl. Teilsicherheit</t>
  </si>
  <si>
    <t>Wandgewicht einschl. Teilsicherheit</t>
  </si>
  <si>
    <t>Bogen</t>
  </si>
  <si>
    <t>Wandöffnung EG</t>
  </si>
  <si>
    <t>‰</t>
  </si>
  <si>
    <t>ε</t>
  </si>
  <si>
    <t>Dehnung</t>
  </si>
  <si>
    <r>
      <t>f</t>
    </r>
    <r>
      <rPr>
        <vertAlign val="subscript"/>
        <sz val="11"/>
        <color theme="1"/>
        <rFont val="Calibri"/>
        <family val="2"/>
        <scheme val="minor"/>
      </rPr>
      <t>t</t>
    </r>
  </si>
  <si>
    <t>Zugfestigkeit</t>
  </si>
  <si>
    <t>PP + DM</t>
  </si>
  <si>
    <t>KS + DM</t>
  </si>
  <si>
    <t>(MZ o. KS) + NM</t>
  </si>
  <si>
    <t>zugeh. x-Koordinate + offset</t>
  </si>
  <si>
    <t>y-Koordinate Kreisbogen</t>
  </si>
  <si>
    <t>rad</t>
  </si>
  <si>
    <t>grad</t>
  </si>
  <si>
    <t>für obige Grafik Höhenkoordinate Leibung</t>
  </si>
  <si>
    <t>einwirkende Spannung</t>
  </si>
  <si>
    <t>Querschnittshöhe 2 (2*Zeile 33)</t>
  </si>
  <si>
    <t>Normalen-Differenz Leibung-Stützlinie (Näherung)</t>
  </si>
  <si>
    <t>h_i</t>
  </si>
  <si>
    <t>Querschnittshöhe 1 (lin. interpoliert 10-11)</t>
  </si>
  <si>
    <t>aus Geometrie Viertelkreis</t>
  </si>
  <si>
    <t>l_i</t>
  </si>
  <si>
    <t>Höhenkoordinate Laibung</t>
  </si>
  <si>
    <t>y_vorher + delta(x)*Neigung</t>
  </si>
  <si>
    <t>y_i</t>
  </si>
  <si>
    <t>Höhenkoordinate Stützlinie</t>
  </si>
  <si>
    <t>Neue Neigung Stützlinie (tan)</t>
  </si>
  <si>
    <t>R_i</t>
  </si>
  <si>
    <t>Neue Resultierende</t>
  </si>
  <si>
    <t>H_i</t>
  </si>
  <si>
    <t>V_i</t>
  </si>
  <si>
    <t>P_i</t>
  </si>
  <si>
    <t>x_i</t>
  </si>
  <si>
    <t>Koordinate</t>
  </si>
  <si>
    <t>i</t>
  </si>
  <si>
    <t>Stützpunkt</t>
  </si>
  <si>
    <t>Veränderliche Last Maximum</t>
  </si>
  <si>
    <t>Gleichstreckenlast</t>
  </si>
  <si>
    <t>Lokomotive verteilt auf halbe Spannweite</t>
  </si>
  <si>
    <t>Verkehrslast / Lokomotive</t>
  </si>
  <si>
    <t>Last Schotterbett</t>
  </si>
  <si>
    <t>Bauhöhe im Scheitelpunkt</t>
  </si>
  <si>
    <t>Eigengewicht</t>
  </si>
  <si>
    <t>lichte Spannweite Kreisbogen</t>
  </si>
  <si>
    <t>h_n</t>
  </si>
  <si>
    <t>trag. Querschnittshöhe Stelle n</t>
  </si>
  <si>
    <t>h_0</t>
  </si>
  <si>
    <t>trag. Querschnittshöhe Stelle 0</t>
  </si>
  <si>
    <t>Viaduktbreite</t>
  </si>
  <si>
    <t>n</t>
  </si>
  <si>
    <t>Anzahl Abschnitte</t>
  </si>
  <si>
    <t>f/L</t>
  </si>
  <si>
    <t>Verhältnis Stich/Spannweite</t>
  </si>
  <si>
    <t>für Namen in Formeln siehe Namensmanager unter Formeln</t>
  </si>
  <si>
    <t>f</t>
  </si>
  <si>
    <t>Stich Stützlinie</t>
  </si>
  <si>
    <t>L</t>
  </si>
  <si>
    <t>Spannweite Stützlinie</t>
  </si>
  <si>
    <t>Konstruktion Stützlinie Viaduktbogen</t>
  </si>
  <si>
    <t>Kalkstein</t>
  </si>
  <si>
    <t>80 - 180 N/mm²</t>
  </si>
  <si>
    <t>M10</t>
  </si>
  <si>
    <t xml:space="preserve">Nachweis </t>
  </si>
  <si>
    <t>Nachweis Fuß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</si>
</sst>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%"/>
    <numFmt numFmtId="166" formatCode="0.000"/>
    <numFmt numFmtId="167" formatCode="0.0000"/>
    <numFmt numFmtId="168" formatCode="0.E+00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sz val="10"/>
      <name val="Arial"/>
      <family val="1"/>
      <charset val="2"/>
    </font>
    <font>
      <b/>
      <sz val="10"/>
      <color rgb="FFFF0000"/>
      <name val="Arial"/>
      <family val="2"/>
    </font>
    <font>
      <i/>
      <sz val="10"/>
      <name val="Symbol"/>
      <family val="1"/>
      <charset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vertAlign val="subscript"/>
      <sz val="10"/>
      <color rgb="FFFF000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0"/>
      <color theme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8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3" fillId="0" borderId="0" xfId="0" applyNumberFormat="1" applyFont="1"/>
    <xf numFmtId="2" fontId="5" fillId="0" borderId="0" xfId="0" applyNumberFormat="1" applyFont="1"/>
    <xf numFmtId="0" fontId="0" fillId="0" borderId="1" xfId="0" applyBorder="1"/>
    <xf numFmtId="2" fontId="0" fillId="0" borderId="1" xfId="0" applyNumberFormat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3" fillId="0" borderId="0" xfId="0" applyFont="1"/>
    <xf numFmtId="2" fontId="3" fillId="0" borderId="1" xfId="0" applyNumberFormat="1" applyFont="1" applyBorder="1"/>
    <xf numFmtId="0" fontId="0" fillId="0" borderId="0" xfId="0" quotePrefix="1"/>
    <xf numFmtId="1" fontId="0" fillId="0" borderId="0" xfId="0" applyNumberFormat="1"/>
    <xf numFmtId="0" fontId="3" fillId="0" borderId="1" xfId="0" applyFont="1" applyBorder="1"/>
    <xf numFmtId="0" fontId="6" fillId="0" borderId="0" xfId="0" applyFont="1"/>
    <xf numFmtId="2" fontId="6" fillId="0" borderId="0" xfId="0" applyNumberFormat="1" applyFont="1"/>
    <xf numFmtId="0" fontId="5" fillId="0" borderId="0" xfId="0" applyFont="1"/>
    <xf numFmtId="2" fontId="7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1" fontId="5" fillId="0" borderId="0" xfId="0" applyNumberFormat="1" applyFont="1"/>
    <xf numFmtId="164" fontId="5" fillId="0" borderId="0" xfId="0" applyNumberFormat="1" applyFont="1"/>
    <xf numFmtId="9" fontId="7" fillId="0" borderId="0" xfId="0" applyNumberFormat="1" applyFont="1"/>
    <xf numFmtId="9" fontId="6" fillId="0" borderId="0" xfId="0" applyNumberFormat="1" applyFont="1"/>
    <xf numFmtId="0" fontId="0" fillId="0" borderId="3" xfId="0" applyBorder="1"/>
    <xf numFmtId="0" fontId="5" fillId="0" borderId="0" xfId="0" quotePrefix="1" applyFont="1"/>
    <xf numFmtId="0" fontId="5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/>
    <xf numFmtId="0" fontId="5" fillId="0" borderId="7" xfId="0" applyFont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0" xfId="0" applyFont="1"/>
    <xf numFmtId="16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8" fillId="0" borderId="0" xfId="0" applyFont="1"/>
    <xf numFmtId="9" fontId="0" fillId="0" borderId="0" xfId="1" applyFont="1"/>
    <xf numFmtId="0" fontId="13" fillId="0" borderId="0" xfId="0" applyFont="1"/>
    <xf numFmtId="0" fontId="14" fillId="0" borderId="0" xfId="0" applyFont="1"/>
    <xf numFmtId="1" fontId="0" fillId="0" borderId="7" xfId="0" applyNumberFormat="1" applyBorder="1"/>
    <xf numFmtId="164" fontId="0" fillId="0" borderId="7" xfId="0" applyNumberFormat="1" applyBorder="1"/>
    <xf numFmtId="2" fontId="5" fillId="0" borderId="1" xfId="0" applyNumberFormat="1" applyFont="1" applyBorder="1"/>
    <xf numFmtId="1" fontId="15" fillId="0" borderId="0" xfId="0" applyNumberFormat="1" applyFont="1"/>
    <xf numFmtId="164" fontId="16" fillId="0" borderId="0" xfId="0" applyNumberFormat="1" applyFont="1"/>
    <xf numFmtId="1" fontId="16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7" fillId="0" borderId="0" xfId="0" applyFont="1"/>
    <xf numFmtId="1" fontId="3" fillId="0" borderId="0" xfId="0" applyNumberFormat="1" applyFont="1"/>
    <xf numFmtId="1" fontId="6" fillId="0" borderId="0" xfId="0" applyNumberFormat="1" applyFont="1"/>
    <xf numFmtId="0" fontId="0" fillId="0" borderId="12" xfId="0" applyBorder="1"/>
    <xf numFmtId="0" fontId="0" fillId="0" borderId="14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7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166" fontId="6" fillId="0" borderId="0" xfId="0" applyNumberFormat="1" applyFont="1"/>
    <xf numFmtId="0" fontId="5" fillId="0" borderId="0" xfId="0" applyFont="1" applyAlignment="1">
      <alignment horizontal="left"/>
    </xf>
    <xf numFmtId="2" fontId="6" fillId="0" borderId="7" xfId="0" applyNumberFormat="1" applyFont="1" applyBorder="1"/>
    <xf numFmtId="2" fontId="5" fillId="0" borderId="7" xfId="0" applyNumberFormat="1" applyFont="1" applyBorder="1"/>
    <xf numFmtId="2" fontId="0" fillId="0" borderId="7" xfId="0" applyNumberFormat="1" applyBorder="1"/>
    <xf numFmtId="166" fontId="5" fillId="0" borderId="0" xfId="0" applyNumberFormat="1" applyFont="1"/>
    <xf numFmtId="2" fontId="5" fillId="0" borderId="0" xfId="0" quotePrefix="1" applyNumberFormat="1" applyFont="1"/>
    <xf numFmtId="0" fontId="10" fillId="0" borderId="7" xfId="0" applyFont="1" applyBorder="1"/>
    <xf numFmtId="2" fontId="2" fillId="0" borderId="0" xfId="0" applyNumberFormat="1" applyFont="1"/>
    <xf numFmtId="0" fontId="2" fillId="0" borderId="0" xfId="0" applyFont="1"/>
    <xf numFmtId="0" fontId="2" fillId="0" borderId="7" xfId="0" applyFont="1" applyBorder="1"/>
    <xf numFmtId="2" fontId="8" fillId="0" borderId="7" xfId="0" applyNumberFormat="1" applyFont="1" applyBorder="1"/>
    <xf numFmtId="2" fontId="21" fillId="0" borderId="0" xfId="0" applyNumberFormat="1" applyFont="1"/>
    <xf numFmtId="1" fontId="7" fillId="0" borderId="0" xfId="0" applyNumberFormat="1" applyFont="1"/>
    <xf numFmtId="0" fontId="23" fillId="0" borderId="0" xfId="0" applyFont="1"/>
    <xf numFmtId="1" fontId="2" fillId="0" borderId="0" xfId="0" applyNumberFormat="1" applyFont="1"/>
    <xf numFmtId="0" fontId="2" fillId="0" borderId="0" xfId="0" quotePrefix="1" applyFont="1"/>
    <xf numFmtId="0" fontId="0" fillId="0" borderId="0" xfId="0" applyAlignment="1">
      <alignment horizontal="left"/>
    </xf>
    <xf numFmtId="0" fontId="21" fillId="0" borderId="0" xfId="0" applyFont="1"/>
    <xf numFmtId="2" fontId="2" fillId="0" borderId="1" xfId="0" applyNumberFormat="1" applyFont="1" applyBorder="1"/>
    <xf numFmtId="0" fontId="2" fillId="0" borderId="1" xfId="0" applyFont="1" applyBorder="1"/>
    <xf numFmtId="164" fontId="3" fillId="0" borderId="0" xfId="0" applyNumberFormat="1" applyFont="1"/>
    <xf numFmtId="0" fontId="15" fillId="0" borderId="0" xfId="0" applyFont="1"/>
    <xf numFmtId="1" fontId="0" fillId="0" borderId="1" xfId="0" applyNumberFormat="1" applyBorder="1"/>
    <xf numFmtId="164" fontId="7" fillId="0" borderId="0" xfId="0" applyNumberFormat="1" applyFont="1"/>
    <xf numFmtId="2" fontId="0" fillId="0" borderId="8" xfId="2" applyNumberFormat="1" applyFont="1" applyBorder="1" applyAlignment="1">
      <alignment horizontal="center"/>
    </xf>
    <xf numFmtId="2" fontId="0" fillId="0" borderId="7" xfId="2" applyNumberFormat="1" applyFont="1" applyBorder="1" applyAlignment="1">
      <alignment horizontal="center"/>
    </xf>
    <xf numFmtId="2" fontId="0" fillId="0" borderId="6" xfId="2" applyNumberFormat="1" applyFont="1" applyBorder="1" applyAlignment="1">
      <alignment horizontal="center"/>
    </xf>
    <xf numFmtId="0" fontId="0" fillId="0" borderId="7" xfId="0" applyBorder="1" applyAlignment="1">
      <alignment horizontal="right"/>
    </xf>
    <xf numFmtId="0" fontId="24" fillId="0" borderId="7" xfId="0" applyFont="1" applyBorder="1"/>
    <xf numFmtId="168" fontId="0" fillId="0" borderId="3" xfId="2" applyNumberFormat="1" applyFont="1" applyBorder="1" applyAlignment="1">
      <alignment horizontal="center"/>
    </xf>
    <xf numFmtId="168" fontId="0" fillId="0" borderId="0" xfId="2" applyNumberFormat="1" applyFont="1" applyBorder="1" applyAlignment="1">
      <alignment horizontal="center"/>
    </xf>
    <xf numFmtId="168" fontId="0" fillId="0" borderId="2" xfId="2" applyNumberFormat="1" applyFont="1" applyBorder="1" applyAlignment="1">
      <alignment horizontal="center"/>
    </xf>
    <xf numFmtId="0" fontId="24" fillId="0" borderId="0" xfId="0" applyFont="1"/>
    <xf numFmtId="2" fontId="26" fillId="0" borderId="0" xfId="0" applyNumberFormat="1" applyFont="1"/>
    <xf numFmtId="2" fontId="2" fillId="0" borderId="2" xfId="0" applyNumberFormat="1" applyFont="1" applyBorder="1"/>
    <xf numFmtId="2" fontId="0" fillId="0" borderId="2" xfId="0" applyNumberFormat="1" applyBorder="1"/>
    <xf numFmtId="0" fontId="0" fillId="2" borderId="0" xfId="0" applyFill="1"/>
    <xf numFmtId="2" fontId="0" fillId="2" borderId="2" xfId="0" applyNumberFormat="1" applyFill="1" applyBorder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164" fontId="0" fillId="0" borderId="15" xfId="0" applyNumberForma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10" xfId="0" applyFont="1" applyBorder="1"/>
    <xf numFmtId="0" fontId="0" fillId="0" borderId="12" xfId="0" applyBorder="1" applyAlignment="1">
      <alignment horizontal="center"/>
    </xf>
    <xf numFmtId="0" fontId="2" fillId="0" borderId="9" xfId="0" applyFont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Komma 2" xfId="2" xr:uid="{00000000-0005-0000-0000-000000000000}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'Turmbau DD'!$B$22:$C$22</c:f>
              <c:strCache>
                <c:ptCount val="2"/>
                <c:pt idx="0">
                  <c:v>h</c:v>
                </c:pt>
                <c:pt idx="1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'Turmbau DD'!$D$5:$L$5</c:f>
              <c:strCache>
                <c:ptCount val="9"/>
                <c:pt idx="0">
                  <c:v>Mz 28</c:v>
                </c:pt>
                <c:pt idx="1">
                  <c:v>KS-P 20</c:v>
                </c:pt>
                <c:pt idx="2">
                  <c:v>PP 8</c:v>
                </c:pt>
                <c:pt idx="3">
                  <c:v>PP 2</c:v>
                </c:pt>
                <c:pt idx="4">
                  <c:v>Kalkstein</c:v>
                </c:pt>
                <c:pt idx="5">
                  <c:v>C25/30</c:v>
                </c:pt>
                <c:pt idx="6">
                  <c:v>S235</c:v>
                </c:pt>
                <c:pt idx="7">
                  <c:v>C24</c:v>
                </c:pt>
                <c:pt idx="8">
                  <c:v>C24</c:v>
                </c:pt>
              </c:strCache>
            </c:strRef>
          </c:cat>
          <c:val>
            <c:numRef>
              <c:f>'Turmbau DD'!$D$22:$L$22</c:f>
              <c:numCache>
                <c:formatCode>0</c:formatCode>
                <c:ptCount val="9"/>
                <c:pt idx="0">
                  <c:v>256.51577503429348</c:v>
                </c:pt>
                <c:pt idx="1">
                  <c:v>220.37037037037035</c:v>
                </c:pt>
                <c:pt idx="2">
                  <c:v>237.86008230452671</c:v>
                </c:pt>
                <c:pt idx="3">
                  <c:v>125.92592592592592</c:v>
                </c:pt>
                <c:pt idx="4">
                  <c:v>124.42680776014112</c:v>
                </c:pt>
                <c:pt idx="5">
                  <c:v>419.75308641975312</c:v>
                </c:pt>
                <c:pt idx="6">
                  <c:v>2217.5041283321534</c:v>
                </c:pt>
                <c:pt idx="7">
                  <c:v>2279.202279202279</c:v>
                </c:pt>
                <c:pt idx="8">
                  <c:v>271.33360466693796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2-4FA5-AC2E-21B5A68D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5375264"/>
        <c:axId val="502635392"/>
      </c:barChart>
      <c:catAx>
        <c:axId val="82537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635392"/>
        <c:crosses val="autoZero"/>
        <c:auto val="1"/>
        <c:lblAlgn val="ctr"/>
        <c:lblOffset val="100"/>
        <c:noMultiLvlLbl val="0"/>
      </c:catAx>
      <c:valAx>
        <c:axId val="5026353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h in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537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'Turmbau DD'!$B$22:$C$22</c:f>
              <c:strCache>
                <c:ptCount val="2"/>
                <c:pt idx="0">
                  <c:v>h</c:v>
                </c:pt>
                <c:pt idx="1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'Turmbau DD'!$D$5:$L$5</c:f>
              <c:strCache>
                <c:ptCount val="9"/>
                <c:pt idx="0">
                  <c:v>Mz 28</c:v>
                </c:pt>
                <c:pt idx="1">
                  <c:v>KS-P 20</c:v>
                </c:pt>
                <c:pt idx="2">
                  <c:v>PP 8</c:v>
                </c:pt>
                <c:pt idx="3">
                  <c:v>PP 2</c:v>
                </c:pt>
                <c:pt idx="4">
                  <c:v>Kalkstein</c:v>
                </c:pt>
                <c:pt idx="5">
                  <c:v>C25/30</c:v>
                </c:pt>
                <c:pt idx="6">
                  <c:v>S235</c:v>
                </c:pt>
                <c:pt idx="7">
                  <c:v>C24</c:v>
                </c:pt>
                <c:pt idx="8">
                  <c:v>C24</c:v>
                </c:pt>
              </c:strCache>
            </c:strRef>
          </c:cat>
          <c:val>
            <c:numRef>
              <c:f>'Turmbau DD'!$D$22:$L$22</c:f>
              <c:numCache>
                <c:formatCode>0</c:formatCode>
                <c:ptCount val="9"/>
                <c:pt idx="0">
                  <c:v>256.51577503429348</c:v>
                </c:pt>
                <c:pt idx="1">
                  <c:v>220.37037037037035</c:v>
                </c:pt>
                <c:pt idx="2">
                  <c:v>237.86008230452671</c:v>
                </c:pt>
                <c:pt idx="3">
                  <c:v>125.92592592592592</c:v>
                </c:pt>
                <c:pt idx="4">
                  <c:v>124.42680776014112</c:v>
                </c:pt>
                <c:pt idx="5">
                  <c:v>419.75308641975312</c:v>
                </c:pt>
                <c:pt idx="6">
                  <c:v>2217.5041283321534</c:v>
                </c:pt>
                <c:pt idx="7">
                  <c:v>2279.202279202279</c:v>
                </c:pt>
                <c:pt idx="8">
                  <c:v>271.33360466693796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6-46BE-8FBF-5EB3A3091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5375264"/>
        <c:axId val="502635392"/>
      </c:barChart>
      <c:catAx>
        <c:axId val="82537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635392"/>
        <c:crosses val="autoZero"/>
        <c:auto val="1"/>
        <c:lblAlgn val="ctr"/>
        <c:lblOffset val="100"/>
        <c:noMultiLvlLbl val="0"/>
      </c:catAx>
      <c:valAx>
        <c:axId val="50263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h in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537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5528453643232E-2"/>
          <c:y val="5.6302175937685224E-2"/>
          <c:w val="0.8773184632518739"/>
          <c:h val="0.89814814814814814"/>
        </c:manualLayout>
      </c:layout>
      <c:scatterChart>
        <c:scatterStyle val="lineMarker"/>
        <c:varyColors val="0"/>
        <c:ser>
          <c:idx val="0"/>
          <c:order val="0"/>
          <c:tx>
            <c:v>EC 6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'bew. BW EC6'!$A$17:$A$42</c:f>
              <c:numCache>
                <c:formatCode>General</c:formatCode>
                <c:ptCount val="2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'bew. BW EC6'!$C$17:$C$42</c:f>
              <c:numCache>
                <c:formatCode>0.000</c:formatCode>
                <c:ptCount val="26"/>
                <c:pt idx="0">
                  <c:v>0</c:v>
                </c:pt>
                <c:pt idx="1">
                  <c:v>0.46749705882352949</c:v>
                </c:pt>
                <c:pt idx="2">
                  <c:v>0.86078823529411763</c:v>
                </c:pt>
                <c:pt idx="3">
                  <c:v>1.1798735294117646</c:v>
                </c:pt>
                <c:pt idx="4">
                  <c:v>1.4247529411764706</c:v>
                </c:pt>
                <c:pt idx="5">
                  <c:v>1.5954264705882353</c:v>
                </c:pt>
                <c:pt idx="6">
                  <c:v>1.691894117647059</c:v>
                </c:pt>
                <c:pt idx="7">
                  <c:v>1.7141558823529415</c:v>
                </c:pt>
                <c:pt idx="8">
                  <c:v>1.6622117647058823</c:v>
                </c:pt>
                <c:pt idx="9">
                  <c:v>1.5360617647058827</c:v>
                </c:pt>
                <c:pt idx="10">
                  <c:v>1.3357058823529413</c:v>
                </c:pt>
                <c:pt idx="11">
                  <c:v>1.0611441176470586</c:v>
                </c:pt>
                <c:pt idx="12">
                  <c:v>0.71237647058823683</c:v>
                </c:pt>
                <c:pt idx="13">
                  <c:v>0.28940294117647103</c:v>
                </c:pt>
                <c:pt idx="14">
                  <c:v>-0.20777647058823454</c:v>
                </c:pt>
                <c:pt idx="15">
                  <c:v>-0.77916176470588128</c:v>
                </c:pt>
                <c:pt idx="16">
                  <c:v>-1.424752941176471</c:v>
                </c:pt>
                <c:pt idx="17">
                  <c:v>-2.1445500000000002</c:v>
                </c:pt>
                <c:pt idx="18">
                  <c:v>-2.9385529411764679</c:v>
                </c:pt>
                <c:pt idx="19">
                  <c:v>-3.8067617647058789</c:v>
                </c:pt>
                <c:pt idx="20">
                  <c:v>-4.7491764705882336</c:v>
                </c:pt>
                <c:pt idx="21">
                  <c:v>-5.765797058823531</c:v>
                </c:pt>
                <c:pt idx="22">
                  <c:v>-6.8566235294117659</c:v>
                </c:pt>
                <c:pt idx="23">
                  <c:v>-8.0216558823529382</c:v>
                </c:pt>
                <c:pt idx="24">
                  <c:v>-9.2608941176470516</c:v>
                </c:pt>
                <c:pt idx="25">
                  <c:v>-10.574338235294114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9D-405C-A3A6-4AD75A7A7084}"/>
            </c:ext>
          </c:extLst>
        </c:ser>
        <c:ser>
          <c:idx val="1"/>
          <c:order val="1"/>
          <c:tx>
            <c:v>Omega-Verfahren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'bew. BW EC6'!$A$17:$A$42</c:f>
              <c:numCache>
                <c:formatCode>General</c:formatCode>
                <c:ptCount val="2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'bew. BW EC6'!$F$17:$F$42</c:f>
              <c:numCache>
                <c:formatCode>0.00</c:formatCode>
                <c:ptCount val="26"/>
                <c:pt idx="0">
                  <c:v>0</c:v>
                </c:pt>
                <c:pt idx="1">
                  <c:v>0.46349388417284748</c:v>
                </c:pt>
                <c:pt idx="2">
                  <c:v>0.84212759227609268</c:v>
                </c:pt>
                <c:pt idx="3">
                  <c:v>0.97548607794930176</c:v>
                </c:pt>
                <c:pt idx="4">
                  <c:v>1.0411443126193509</c:v>
                </c:pt>
                <c:pt idx="5">
                  <c:v>1.0890493894605864</c:v>
                </c:pt>
                <c:pt idx="6">
                  <c:v>1.1261550355224637</c:v>
                </c:pt>
                <c:pt idx="7">
                  <c:v>1.1556669934862891</c:v>
                </c:pt>
                <c:pt idx="8">
                  <c:v>1.179870921889443</c:v>
                </c:pt>
                <c:pt idx="9">
                  <c:v>1.2000623879142471</c:v>
                </c:pt>
                <c:pt idx="10">
                  <c:v>1.2171969486364922</c:v>
                </c:pt>
                <c:pt idx="11">
                  <c:v>1.2318556033206991</c:v>
                </c:pt>
                <c:pt idx="12">
                  <c:v>1.2446885838183608</c:v>
                </c:pt>
                <c:pt idx="13">
                  <c:v>1.2559508313340262</c:v>
                </c:pt>
                <c:pt idx="14">
                  <c:v>1.2659162110505553</c:v>
                </c:pt>
                <c:pt idx="15">
                  <c:v>1.2747986155341953</c:v>
                </c:pt>
                <c:pt idx="16">
                  <c:v>1.2827668081583861</c:v>
                </c:pt>
                <c:pt idx="17">
                  <c:v>1.2899558670254014</c:v>
                </c:pt>
                <c:pt idx="18">
                  <c:v>1.2964752821448231</c:v>
                </c:pt>
                <c:pt idx="19">
                  <c:v>1.302414798059341</c:v>
                </c:pt>
                <c:pt idx="20">
                  <c:v>1.3078487098324607</c:v>
                </c:pt>
                <c:pt idx="21">
                  <c:v>1.3128390745257428</c:v>
                </c:pt>
                <c:pt idx="22">
                  <c:v>1.3174381474360153</c:v>
                </c:pt>
                <c:pt idx="23">
                  <c:v>1.3216902546599862</c:v>
                </c:pt>
                <c:pt idx="24">
                  <c:v>1.3256332495431038</c:v>
                </c:pt>
                <c:pt idx="25">
                  <c:v>1.3292996577137797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9D-405C-A3A6-4AD75A7A7084}"/>
            </c:ext>
          </c:extLst>
        </c:ser>
        <c:ser>
          <c:idx val="2"/>
          <c:order val="2"/>
          <c:tx>
            <c:strRef>
              <c:f>'bew. BW EC6'!$A$60</c:f>
              <c:strCache>
                <c:ptCount val="1"/>
                <c:pt idx="0">
                  <c:v>maxMRd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('bew. BW EC6'!$A$17,'bew. BW EC6'!$A$42)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xVal>
          <c:yVal>
            <c:numRef>
              <c:f>('bew. BW EC6'!$C$60,'bew. BW EC6'!$C$60)</c:f>
              <c:numCache>
                <c:formatCode>0.000</c:formatCode>
                <c:ptCount val="2"/>
                <c:pt idx="0">
                  <c:v>1.3725120000000002</c:v>
                </c:pt>
                <c:pt idx="1">
                  <c:v>1.3725120000000002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9D-405C-A3A6-4AD75A7A7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59032"/>
        <c:axId val="216560992"/>
      </c:scatterChart>
      <c:valAx>
        <c:axId val="216559032"/>
        <c:scaling>
          <c:orientation val="minMax"/>
          <c:max val="1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As in cm ²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6560992"/>
        <c:crosses val="autoZero"/>
        <c:crossBetween val="midCat"/>
      </c:valAx>
      <c:valAx>
        <c:axId val="216560992"/>
        <c:scaling>
          <c:orientation val="minMax"/>
          <c:max val="2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MRd in kNm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tailEnd type="triangle"/>
          </a:ln>
          <a:effectLst/>
        </c:spPr>
        <c:txPr>
          <a:bodyPr rot="-6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6559032"/>
        <c:crosses val="autoZero"/>
        <c:crossBetween val="midCat"/>
      </c:valAx>
      <c:spPr>
        <a:noFill/>
        <a:ln>
          <a:solidFill>
            <a:schemeClr val="tx1">
              <a:lumMod val="25000"/>
              <a:lumOff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3222774604154872"/>
          <c:y val="0.12591803318163214"/>
          <c:w val="0.16850103272465786"/>
          <c:h val="0.155610236220472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96171677969714E-2"/>
          <c:y val="8.0882352941176475E-2"/>
          <c:w val="0.84998478944398148"/>
          <c:h val="0.79779411764705888"/>
        </c:manualLayout>
      </c:layout>
      <c:scatterChart>
        <c:scatterStyle val="lineMarker"/>
        <c:varyColors val="0"/>
        <c:ser>
          <c:idx val="0"/>
          <c:order val="0"/>
          <c:tx>
            <c:strRef>
              <c:f>Viadukt!$A$30</c:f>
              <c:strCache>
                <c:ptCount val="1"/>
                <c:pt idx="0">
                  <c:v>Höhenkoordinate Stützlinie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Viadukt!$E$23:$M$23</c:f>
              <c:numCache>
                <c:formatCode>0.00</c:formatCode>
                <c:ptCount val="9"/>
                <c:pt idx="0">
                  <c:v>0</c:v>
                </c:pt>
                <c:pt idx="1">
                  <c:v>1.4375</c:v>
                </c:pt>
                <c:pt idx="2">
                  <c:v>2.875</c:v>
                </c:pt>
                <c:pt idx="3">
                  <c:v>4.3125</c:v>
                </c:pt>
                <c:pt idx="4">
                  <c:v>5.75</c:v>
                </c:pt>
                <c:pt idx="5">
                  <c:v>7.1875</c:v>
                </c:pt>
                <c:pt idx="6">
                  <c:v>8.625</c:v>
                </c:pt>
                <c:pt idx="7">
                  <c:v>10.0625</c:v>
                </c:pt>
                <c:pt idx="8">
                  <c:v>11.5</c:v>
                </c:pt>
              </c:numCache>
            </c:numRef>
          </c:xVal>
          <c:yVal>
            <c:numRef>
              <c:f>Viadukt!$E$30:$M$30</c:f>
              <c:numCache>
                <c:formatCode>0.00</c:formatCode>
                <c:ptCount val="9"/>
                <c:pt idx="0">
                  <c:v>0</c:v>
                </c:pt>
                <c:pt idx="1">
                  <c:v>3.2137090116662832</c:v>
                </c:pt>
                <c:pt idx="2">
                  <c:v>5.5041869086181432</c:v>
                </c:pt>
                <c:pt idx="3">
                  <c:v>7.2211636033558513</c:v>
                </c:pt>
                <c:pt idx="4">
                  <c:v>8.4954009060652265</c:v>
                </c:pt>
                <c:pt idx="5">
                  <c:v>9.4118230154779603</c:v>
                </c:pt>
                <c:pt idx="6">
                  <c:v>10.028535956515022</c:v>
                </c:pt>
                <c:pt idx="7">
                  <c:v>10.38392839288246</c:v>
                </c:pt>
                <c:pt idx="8">
                  <c:v>10.500000000000004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0E-4D83-ACBD-322DCB664BC0}"/>
            </c:ext>
          </c:extLst>
        </c:ser>
        <c:ser>
          <c:idx val="1"/>
          <c:order val="1"/>
          <c:tx>
            <c:strRef>
              <c:f>Viadukt!$A$31</c:f>
              <c:strCache>
                <c:ptCount val="1"/>
                <c:pt idx="0">
                  <c:v>Höhenkoordinate Laibung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Viadukt!$E$42:$O$42</c:f>
              <c:numCache>
                <c:formatCode>0.00</c:formatCode>
                <c:ptCount val="11"/>
                <c:pt idx="0">
                  <c:v>1.5</c:v>
                </c:pt>
                <c:pt idx="1">
                  <c:v>1.5380529548393527</c:v>
                </c:pt>
                <c:pt idx="2">
                  <c:v>1.651922213883009</c:v>
                </c:pt>
                <c:pt idx="3">
                  <c:v>2.1030727837178116</c:v>
                </c:pt>
                <c:pt idx="4">
                  <c:v>2.8397437508316323</c:v>
                </c:pt>
                <c:pt idx="5">
                  <c:v>3.8395517783790174</c:v>
                </c:pt>
                <c:pt idx="6">
                  <c:v>5.0721182565593654</c:v>
                </c:pt>
                <c:pt idx="7">
                  <c:v>6.4999923397480472</c:v>
                </c:pt>
                <c:pt idx="8">
                  <c:v>8.0797888695722264</c:v>
                </c:pt>
                <c:pt idx="9">
                  <c:v>9.7635066087727864</c:v>
                </c:pt>
                <c:pt idx="10">
                  <c:v>11.499986732051033</c:v>
                </c:pt>
              </c:numCache>
            </c:numRef>
          </c:xVal>
          <c:yVal>
            <c:numRef>
              <c:f>Viadukt!$E$41:$O$41</c:f>
              <c:numCache>
                <c:formatCode>0.00</c:formatCode>
                <c:ptCount val="11"/>
                <c:pt idx="0">
                  <c:v>0</c:v>
                </c:pt>
                <c:pt idx="1">
                  <c:v>0.87155669317322304</c:v>
                </c:pt>
                <c:pt idx="2">
                  <c:v>1.7364803248493947</c:v>
                </c:pt>
                <c:pt idx="3">
                  <c:v>3.4201986626357082</c:v>
                </c:pt>
                <c:pt idx="4">
                  <c:v>4.9999961698725572</c:v>
                </c:pt>
                <c:pt idx="5">
                  <c:v>6.4278715796026864</c:v>
                </c:pt>
                <c:pt idx="6">
                  <c:v>7.6604396931470315</c:v>
                </c:pt>
                <c:pt idx="7">
                  <c:v>8.6602496151913417</c:v>
                </c:pt>
                <c:pt idx="8">
                  <c:v>9.3969226783717872</c:v>
                </c:pt>
                <c:pt idx="9">
                  <c:v>9.8480754821550889</c:v>
                </c:pt>
                <c:pt idx="10">
                  <c:v>9.9999999999911982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0E-4D83-ACBD-322DCB664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263432"/>
        <c:axId val="713260688"/>
      </c:scatterChart>
      <c:valAx>
        <c:axId val="713263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13260688"/>
        <c:crosses val="autoZero"/>
        <c:crossBetween val="midCat"/>
      </c:valAx>
      <c:valAx>
        <c:axId val="71326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132634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418403160355795"/>
          <c:y val="0.52785135394661031"/>
          <c:w val="0.2758623275538834"/>
          <c:h val="0.102941176470588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195385</xdr:colOff>
      <xdr:row>23</xdr:row>
      <xdr:rowOff>30283</xdr:rowOff>
    </xdr:from>
    <xdr:to>
      <xdr:col>12</xdr:col>
      <xdr:colOff>185615</xdr:colOff>
      <xdr:row>41</xdr:row>
      <xdr:rowOff>122115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F3964FE-6890-48EE-90D7-A1EF67E3A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190500</xdr:colOff>
      <xdr:row>42</xdr:row>
      <xdr:rowOff>9768</xdr:rowOff>
    </xdr:from>
    <xdr:to>
      <xdr:col>12</xdr:col>
      <xdr:colOff>180730</xdr:colOff>
      <xdr:row>60</xdr:row>
      <xdr:rowOff>101600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E0E27FE-D703-44B9-BDE3-994977AC5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745434</xdr:colOff>
      <xdr:row>21</xdr:row>
      <xdr:rowOff>79936</xdr:rowOff>
    </xdr:from>
    <xdr:to>
      <xdr:col>19</xdr:col>
      <xdr:colOff>115956</xdr:colOff>
      <xdr:row>54</xdr:row>
      <xdr:rowOff>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3D97EDD-426E-4ED1-AB0B-B472E10B4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5956" y="3448197"/>
          <a:ext cx="6228522" cy="5343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155574</xdr:colOff>
      <xdr:row>12</xdr:row>
      <xdr:rowOff>12700</xdr:rowOff>
    </xdr:from>
    <xdr:to>
      <xdr:col>18</xdr:col>
      <xdr:colOff>95250</xdr:colOff>
      <xdr:row>41</xdr:row>
      <xdr:rowOff>88900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1D813A0-EF80-4050-B5D1-5E95F0AF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565150</xdr:colOff>
      <xdr:row>43</xdr:row>
      <xdr:rowOff>133350</xdr:rowOff>
    </xdr:from>
    <xdr:to>
      <xdr:col>14</xdr:col>
      <xdr:colOff>412468</xdr:colOff>
      <xdr:row>54</xdr:row>
      <xdr:rowOff>6253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3EB5750-6D6A-49A7-AD1F-EB6CDAE00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9150" y="6972300"/>
          <a:ext cx="5181318" cy="1777903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57</xdr:row>
      <xdr:rowOff>19050</xdr:rowOff>
    </xdr:from>
    <xdr:to>
      <xdr:col>16</xdr:col>
      <xdr:colOff>160823</xdr:colOff>
      <xdr:row>72</xdr:row>
      <xdr:rowOff>84648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9A0C301-5C91-4F3A-A50B-4C10CACC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0" y="9017000"/>
          <a:ext cx="5952023" cy="2573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133350</xdr:colOff>
      <xdr:row>9</xdr:row>
      <xdr:rowOff>133350</xdr:rowOff>
    </xdr:from>
    <xdr:ext cx="7113917" cy="4984750"/>
    <xdr:pic>
      <xdr:nvPicPr>
        <xdr:cNvPr id="2" name="Grafik 1">
          <a:extLst>
            <a:ext uri="{FF2B5EF4-FFF2-40B4-BE49-F238E27FC236}">
              <a16:creationId xmlns:a16="http://schemas.microsoft.com/office/drawing/2014/main" id="{7CFC7E89-F28E-4B94-BDBE-487F374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562100"/>
          <a:ext cx="7113917" cy="49847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487586</xdr:colOff>
      <xdr:row>0</xdr:row>
      <xdr:rowOff>137767</xdr:rowOff>
    </xdr:from>
    <xdr:ext cx="6287215" cy="4428670"/>
    <xdr:pic>
      <xdr:nvPicPr>
        <xdr:cNvPr id="2" name="Grafik 1">
          <a:extLst>
            <a:ext uri="{FF2B5EF4-FFF2-40B4-BE49-F238E27FC236}">
              <a16:creationId xmlns:a16="http://schemas.microsoft.com/office/drawing/2014/main" id="{94B8F5C8-4C8E-4636-8EEA-1D0F59AF5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5586" y="137767"/>
          <a:ext cx="6287215" cy="4428670"/>
        </a:xfrm>
        <a:prstGeom prst="rect">
          <a:avLst/>
        </a:prstGeom>
      </xdr:spPr>
    </xdr:pic>
    <xdr:clientData/>
  </xdr:oneCellAnchor>
  <xdr:oneCellAnchor>
    <xdr:from>
      <xdr:col>9</xdr:col>
      <xdr:colOff>334642</xdr:colOff>
      <xdr:row>31</xdr:row>
      <xdr:rowOff>43623</xdr:rowOff>
    </xdr:from>
    <xdr:ext cx="6749393" cy="4770741"/>
    <xdr:pic>
      <xdr:nvPicPr>
        <xdr:cNvPr id="3" name="Grafik 2">
          <a:extLst>
            <a:ext uri="{FF2B5EF4-FFF2-40B4-BE49-F238E27FC236}">
              <a16:creationId xmlns:a16="http://schemas.microsoft.com/office/drawing/2014/main" id="{AD9C9DD2-6B61-48CB-ABA0-3E29EF7E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2642" y="4964873"/>
          <a:ext cx="6749393" cy="477074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717550</xdr:colOff>
      <xdr:row>37</xdr:row>
      <xdr:rowOff>69850</xdr:rowOff>
    </xdr:from>
    <xdr:ext cx="3606826" cy="2527318"/>
    <xdr:pic>
      <xdr:nvPicPr>
        <xdr:cNvPr id="2" name="Grafik 1">
          <a:extLst>
            <a:ext uri="{FF2B5EF4-FFF2-40B4-BE49-F238E27FC236}">
              <a16:creationId xmlns:a16="http://schemas.microsoft.com/office/drawing/2014/main" id="{E6AB597C-AAA1-4448-8C02-0AD13DF91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550" y="5943600"/>
          <a:ext cx="3606826" cy="2527318"/>
        </a:xfrm>
        <a:prstGeom prst="rect">
          <a:avLst/>
        </a:prstGeom>
      </xdr:spPr>
    </xdr:pic>
    <xdr:clientData/>
  </xdr:oneCellAnchor>
  <xdr:oneCellAnchor>
    <xdr:from>
      <xdr:col>8</xdr:col>
      <xdr:colOff>609600</xdr:colOff>
      <xdr:row>9</xdr:row>
      <xdr:rowOff>120650</xdr:rowOff>
    </xdr:from>
    <xdr:ext cx="2114565" cy="2252679"/>
    <xdr:pic>
      <xdr:nvPicPr>
        <xdr:cNvPr id="3" name="Inhaltsplatzhalter 12">
          <a:extLst>
            <a:ext uri="{FF2B5EF4-FFF2-40B4-BE49-F238E27FC236}">
              <a16:creationId xmlns:a16="http://schemas.microsoft.com/office/drawing/2014/main" id="{5F86860B-3A86-483D-8A11-F38091E7194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549400"/>
          <a:ext cx="2114565" cy="2252679"/>
        </a:xfrm>
        <a:prstGeom prst="rect">
          <a:avLst/>
        </a:prstGeom>
      </xdr:spPr>
    </xdr:pic>
    <xdr:clientData/>
  </xdr:oneCellAnchor>
  <xdr:oneCellAnchor>
    <xdr:from>
      <xdr:col>13</xdr:col>
      <xdr:colOff>412750</xdr:colOff>
      <xdr:row>12</xdr:row>
      <xdr:rowOff>31750</xdr:rowOff>
    </xdr:from>
    <xdr:ext cx="3484588" cy="2409843"/>
    <xdr:pic>
      <xdr:nvPicPr>
        <xdr:cNvPr id="4" name="Inhaltsplatzhalter 7">
          <a:extLst>
            <a:ext uri="{FF2B5EF4-FFF2-40B4-BE49-F238E27FC236}">
              <a16:creationId xmlns:a16="http://schemas.microsoft.com/office/drawing/2014/main" id="{B84D4FA9-E1F3-44D9-B57A-070604B52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18750" y="1936750"/>
          <a:ext cx="3484588" cy="24098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6</xdr:col>
      <xdr:colOff>645753</xdr:colOff>
      <xdr:row>8</xdr:row>
      <xdr:rowOff>156459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2">
              <a:extLst>
                <a:ext uri="{FF2B5EF4-FFF2-40B4-BE49-F238E27FC236}">
                  <a16:creationId xmlns:a16="http://schemas.microsoft.com/office/drawing/2014/main" id="{34BA9E4D-6F85-4ED2-AB2A-A14F0E779FBC}"/>
                </a:ext>
              </a:extLst>
            </xdr:cNvPr>
            <xdr:cNvSpPr txBox="1"/>
          </xdr:nvSpPr>
          <xdr:spPr>
            <a:xfrm>
              <a:off x="4572000" y="952500"/>
              <a:ext cx="645753" cy="4739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b="0" i="1">
                        <a:latin typeface="Cambria Math" panose="02040503050406030204" pitchFamily="18" charset="0"/>
                      </a:rPr>
                      <m:t>𝜀</m:t>
                    </m:r>
                    <m:r>
                      <a:rPr lang="de-DE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e>
                          <m:sub>
                            <m:r>
                              <a:rPr lang="de-DE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de-DE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de-DE"/>
            </a:p>
          </xdr:txBody>
        </xdr:sp>
      </mc:Choice>
      <mc:Fallback xmlns="">
        <xdr:sp macro="" textlink="">
          <xdr:nvSpPr>
            <xdr:cNvPr id="2" name="Textfeld 2">
              <a:extLst>
                <a:ext uri="{FF2B5EF4-FFF2-40B4-BE49-F238E27FC236}">
                  <a16:creationId xmlns:a16="http://schemas.microsoft.com/office/drawing/2014/main" id="{34BA9E4D-6F85-4ED2-AB2A-A14F0E779FBC}"/>
                </a:ext>
              </a:extLst>
            </xdr:cNvPr>
            <xdr:cNvSpPr txBox="1"/>
          </xdr:nvSpPr>
          <xdr:spPr>
            <a:xfrm>
              <a:off x="4572000" y="952500"/>
              <a:ext cx="645753" cy="4739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de-DE" b="0" i="0">
                  <a:latin typeface="Cambria Math" panose="02040503050406030204" pitchFamily="18" charset="0"/>
                </a:rPr>
                <a:t>𝜀=𝑓_𝑡/𝐸</a:t>
              </a:r>
              <a:endParaRPr lang="de-DE"/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1</xdr:row>
      <xdr:rowOff>66675</xdr:rowOff>
    </xdr:from>
    <xdr:to>
      <xdr:col>13</xdr:col>
      <xdr:colOff>476249</xdr:colOff>
      <xdr:row>17</xdr:row>
      <xdr:rowOff>66675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99360D68-1FEC-4A01-8028-864EE393D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6350</xdr:colOff>
      <xdr:row>10</xdr:row>
      <xdr:rowOff>139700</xdr:rowOff>
    </xdr:from>
    <xdr:ext cx="4751892" cy="3527973"/>
    <xdr:pic>
      <xdr:nvPicPr>
        <xdr:cNvPr id="3" name="Inhaltsplatzhalter 7">
          <a:extLst>
            <a:ext uri="{FF2B5EF4-FFF2-40B4-BE49-F238E27FC236}">
              <a16:creationId xmlns:a16="http://schemas.microsoft.com/office/drawing/2014/main" id="{49926D47-F0B4-4466-9A49-63433C81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0350" y="1758950"/>
          <a:ext cx="4751892" cy="352797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Schoeps/MW-Vorlesung/Musterhaus19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mbau DD"/>
      <sheetName val="Schnittkräfte S1"/>
      <sheetName val="Vereinfachtes Verfahren S6"/>
      <sheetName val="Ausfachungsfläche"/>
      <sheetName val="Kellerwand"/>
      <sheetName val="Standardverfahren"/>
      <sheetName val="Aussteifungswand"/>
      <sheetName val="R. Steifigkeit"/>
      <sheetName val="Teilfläche"/>
      <sheetName val="Kellerwand 2"/>
      <sheetName val="Kellerwand 3"/>
      <sheetName val="Bogen Flachsturz EG"/>
      <sheetName val="Flachsturz EG alt"/>
      <sheetName val="Viadukt"/>
    </sheetNames>
    <sheetDataSet>
      <sheetData sheetId="0"/>
      <sheetData sheetId="1">
        <row r="7">
          <cell r="D7">
            <v>4.96</v>
          </cell>
          <cell r="E7">
            <v>4.96</v>
          </cell>
          <cell r="F7">
            <v>4.96</v>
          </cell>
          <cell r="G7">
            <v>4.96</v>
          </cell>
        </row>
        <row r="8">
          <cell r="D8">
            <v>0.183</v>
          </cell>
          <cell r="E8">
            <v>0.183</v>
          </cell>
          <cell r="F8">
            <v>0.183</v>
          </cell>
          <cell r="G8">
            <v>0.183</v>
          </cell>
        </row>
        <row r="11">
          <cell r="D11">
            <v>4.5999999999999996</v>
          </cell>
          <cell r="E11">
            <v>6.5</v>
          </cell>
          <cell r="F11">
            <v>6.5</v>
          </cell>
          <cell r="G11">
            <v>6.5</v>
          </cell>
        </row>
        <row r="15">
          <cell r="D15">
            <v>0.24</v>
          </cell>
          <cell r="E15">
            <v>0.24</v>
          </cell>
          <cell r="F15">
            <v>0.24</v>
          </cell>
          <cell r="G15">
            <v>0.24</v>
          </cell>
        </row>
        <row r="16">
          <cell r="D16">
            <v>2.62</v>
          </cell>
          <cell r="E16">
            <v>2.6749999999999998</v>
          </cell>
          <cell r="F16">
            <v>2.6749999999999998</v>
          </cell>
          <cell r="G16">
            <v>2.6749999999999998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</row>
        <row r="20">
          <cell r="D20">
            <v>0.5</v>
          </cell>
          <cell r="E20">
            <v>0.5</v>
          </cell>
          <cell r="F20">
            <v>0.5</v>
          </cell>
          <cell r="G20">
            <v>0.5</v>
          </cell>
        </row>
        <row r="29">
          <cell r="D29">
            <v>0</v>
          </cell>
          <cell r="E29">
            <v>3.2</v>
          </cell>
          <cell r="F29">
            <v>3.2</v>
          </cell>
          <cell r="G29">
            <v>3.2</v>
          </cell>
        </row>
      </sheetData>
      <sheetData sheetId="2">
        <row r="6">
          <cell r="D6">
            <v>0.24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8CA5-C89D-4A1A-8C63-24CB0627A9A3}">
  <dimension ref="A2:L22"/>
  <sheetViews>
    <sheetView zoomScale="130" zoomScaleNormal="130" workbookViewId="0">
      <selection activeCell="A33" sqref="A33"/>
    </sheetView>
  </sheetViews>
  <sheetFormatPr baseColWidth="10" defaultRowHeight="12.5"/>
  <cols>
    <col min="1" max="1" width="32.7265625" bestFit="1" customWidth="1"/>
    <col min="3" max="3" width="6.26953125" bestFit="1" customWidth="1"/>
    <col min="4" max="7" width="10" customWidth="1"/>
    <col min="8" max="8" width="8" customWidth="1"/>
    <col min="9" max="12" width="10" customWidth="1"/>
  </cols>
  <sheetData>
    <row r="2" spans="1:12" ht="13">
      <c r="A2" s="11" t="s">
        <v>97</v>
      </c>
      <c r="H2" s="132"/>
    </row>
    <row r="4" spans="1:12">
      <c r="E4" s="102" t="s">
        <v>111</v>
      </c>
    </row>
    <row r="5" spans="1:12">
      <c r="A5" s="29" t="s">
        <v>100</v>
      </c>
      <c r="B5" s="6"/>
      <c r="C5" s="30"/>
      <c r="D5" s="31" t="s">
        <v>99</v>
      </c>
      <c r="E5" s="133" t="s">
        <v>112</v>
      </c>
      <c r="F5" s="31" t="s">
        <v>103</v>
      </c>
      <c r="G5" s="32" t="s">
        <v>104</v>
      </c>
      <c r="H5" s="82" t="s">
        <v>660</v>
      </c>
      <c r="I5" s="31" t="s">
        <v>108</v>
      </c>
      <c r="J5" s="31" t="s">
        <v>109</v>
      </c>
      <c r="K5" s="33" t="s">
        <v>110</v>
      </c>
      <c r="L5" s="32" t="s">
        <v>110</v>
      </c>
    </row>
    <row r="6" spans="1:12">
      <c r="A6" s="40"/>
      <c r="C6" s="26"/>
      <c r="D6" s="37" t="s">
        <v>98</v>
      </c>
      <c r="E6" s="37" t="s">
        <v>102</v>
      </c>
      <c r="F6" s="37" t="s">
        <v>102</v>
      </c>
      <c r="G6" s="134" t="s">
        <v>102</v>
      </c>
      <c r="H6" s="143" t="s">
        <v>661</v>
      </c>
      <c r="I6" s="41"/>
      <c r="J6" s="41"/>
      <c r="K6" s="43"/>
      <c r="L6" s="42"/>
    </row>
    <row r="7" spans="1:12" ht="25.5" customHeight="1">
      <c r="A7" s="34" t="s">
        <v>101</v>
      </c>
      <c r="B7" s="35"/>
      <c r="C7" s="36"/>
      <c r="D7" s="54" t="s">
        <v>662</v>
      </c>
      <c r="E7" s="52" t="s">
        <v>662</v>
      </c>
      <c r="F7" s="52" t="s">
        <v>662</v>
      </c>
      <c r="G7" s="53" t="s">
        <v>662</v>
      </c>
      <c r="H7" s="144"/>
      <c r="I7" s="37"/>
      <c r="J7" s="37"/>
      <c r="K7" s="38" t="s">
        <v>113</v>
      </c>
      <c r="L7" s="39" t="s">
        <v>114</v>
      </c>
    </row>
    <row r="8" spans="1:12" ht="15.5">
      <c r="A8" s="40" t="s">
        <v>50</v>
      </c>
      <c r="B8" s="102" t="s">
        <v>115</v>
      </c>
      <c r="C8" s="26" t="s">
        <v>106</v>
      </c>
      <c r="D8" s="41">
        <v>28</v>
      </c>
      <c r="E8" s="41">
        <v>20</v>
      </c>
      <c r="F8" s="41">
        <v>8</v>
      </c>
      <c r="G8" s="42">
        <v>2</v>
      </c>
      <c r="H8" s="79"/>
      <c r="I8" s="41"/>
      <c r="J8" s="41"/>
      <c r="K8" s="43"/>
      <c r="L8" s="42"/>
    </row>
    <row r="9" spans="1:12" ht="15.5">
      <c r="A9" s="135" t="s">
        <v>116</v>
      </c>
      <c r="B9" s="102" t="s">
        <v>117</v>
      </c>
      <c r="C9" s="26" t="s">
        <v>106</v>
      </c>
      <c r="D9" s="41">
        <f>D8*1.25</f>
        <v>35</v>
      </c>
      <c r="E9" s="41">
        <f>E8*1.25</f>
        <v>25</v>
      </c>
      <c r="F9" s="41">
        <f>F8*1.25</f>
        <v>10</v>
      </c>
      <c r="G9" s="42">
        <f>G8*1.25</f>
        <v>2.5</v>
      </c>
      <c r="H9" s="79">
        <v>130</v>
      </c>
      <c r="I9" s="41"/>
      <c r="J9" s="41"/>
      <c r="K9" s="43"/>
      <c r="L9" s="42"/>
    </row>
    <row r="10" spans="1:12" ht="15.5">
      <c r="A10" s="135" t="s">
        <v>118</v>
      </c>
      <c r="B10" s="102" t="s">
        <v>119</v>
      </c>
      <c r="C10" s="26" t="s">
        <v>106</v>
      </c>
      <c r="D10" s="41">
        <v>10</v>
      </c>
      <c r="E10" s="41">
        <v>10</v>
      </c>
      <c r="F10" s="41">
        <v>10</v>
      </c>
      <c r="G10" s="42">
        <v>10</v>
      </c>
      <c r="H10" s="79"/>
      <c r="I10" s="41"/>
      <c r="J10" s="41"/>
      <c r="K10" s="43"/>
      <c r="L10" s="42"/>
    </row>
    <row r="11" spans="1:12">
      <c r="A11" s="136"/>
      <c r="B11" s="113" t="s">
        <v>88</v>
      </c>
      <c r="C11" s="30"/>
      <c r="D11" s="31">
        <v>0.95</v>
      </c>
      <c r="E11" s="31">
        <v>0.8</v>
      </c>
      <c r="F11" s="31">
        <v>0.9</v>
      </c>
      <c r="G11" s="32">
        <v>0.9</v>
      </c>
      <c r="H11" s="82"/>
      <c r="I11" s="31"/>
      <c r="J11" s="31"/>
      <c r="K11" s="33"/>
      <c r="L11" s="32"/>
    </row>
    <row r="12" spans="1:12">
      <c r="A12" s="135"/>
      <c r="B12" s="44" t="s">
        <v>82</v>
      </c>
      <c r="C12" s="26"/>
      <c r="D12" s="41">
        <v>0.58499999999999996</v>
      </c>
      <c r="E12" s="41">
        <v>0.8</v>
      </c>
      <c r="F12" s="41">
        <v>0.75</v>
      </c>
      <c r="G12" s="42">
        <v>0.75</v>
      </c>
      <c r="H12" s="79"/>
      <c r="I12" s="41"/>
      <c r="J12" s="41"/>
      <c r="K12" s="43"/>
      <c r="L12" s="42"/>
    </row>
    <row r="13" spans="1:12">
      <c r="A13" s="40"/>
      <c r="B13" s="44" t="s">
        <v>49</v>
      </c>
      <c r="C13" s="26"/>
      <c r="D13" s="41">
        <v>0.16200000000000001</v>
      </c>
      <c r="E13" s="41"/>
      <c r="F13" s="41"/>
      <c r="G13" s="42"/>
      <c r="H13" s="79"/>
      <c r="I13" s="41"/>
      <c r="J13" s="41"/>
      <c r="K13" s="43"/>
      <c r="L13" s="42"/>
    </row>
    <row r="14" spans="1:12" ht="15.5">
      <c r="A14" s="137" t="s">
        <v>120</v>
      </c>
      <c r="B14" s="103" t="s">
        <v>121</v>
      </c>
      <c r="C14" s="36" t="s">
        <v>106</v>
      </c>
      <c r="D14" s="46">
        <f>D11*D9^D12*D10^D13</f>
        <v>11.040872920938902</v>
      </c>
      <c r="E14" s="46">
        <f>E11*E9^E12</f>
        <v>10.506111217615071</v>
      </c>
      <c r="F14" s="46">
        <f>F11*F9^F12</f>
        <v>5.0610719267131428</v>
      </c>
      <c r="G14" s="47">
        <f>G11*G9^G12</f>
        <v>1.7893591397258641</v>
      </c>
      <c r="H14" s="138">
        <v>8.3000000000000007</v>
      </c>
      <c r="I14" s="37"/>
      <c r="J14" s="37"/>
      <c r="K14" s="48"/>
      <c r="L14" s="49"/>
    </row>
    <row r="15" spans="1:12" ht="26.5">
      <c r="A15" s="139" t="s">
        <v>122</v>
      </c>
      <c r="B15" s="140" t="s">
        <v>121</v>
      </c>
      <c r="C15" s="50" t="s">
        <v>106</v>
      </c>
      <c r="D15" s="51">
        <v>11</v>
      </c>
      <c r="E15" s="52">
        <v>10.5</v>
      </c>
      <c r="F15" s="52">
        <v>5.0999999999999996</v>
      </c>
      <c r="G15" s="53">
        <v>1.8</v>
      </c>
      <c r="H15" s="141"/>
      <c r="I15" s="52">
        <v>25</v>
      </c>
      <c r="J15" s="52">
        <v>235</v>
      </c>
      <c r="K15" s="54">
        <v>21</v>
      </c>
      <c r="L15" s="53">
        <v>2.5</v>
      </c>
    </row>
    <row r="16" spans="1:12" ht="15.5">
      <c r="A16" s="135" t="s">
        <v>123</v>
      </c>
      <c r="B16" s="55" t="s">
        <v>124</v>
      </c>
      <c r="C16" s="26"/>
      <c r="D16" s="41">
        <v>1.5</v>
      </c>
      <c r="E16" s="41">
        <v>1.5</v>
      </c>
      <c r="F16" s="41">
        <v>1.5</v>
      </c>
      <c r="G16" s="42">
        <v>1.5</v>
      </c>
      <c r="H16" s="42">
        <v>1.5</v>
      </c>
      <c r="I16" s="41">
        <v>1.5</v>
      </c>
      <c r="J16" s="56">
        <v>1</v>
      </c>
      <c r="K16" s="43">
        <v>1.3</v>
      </c>
      <c r="L16" s="42">
        <v>1.3</v>
      </c>
    </row>
    <row r="17" spans="1:12" ht="15.5">
      <c r="A17" s="40"/>
      <c r="B17" s="102" t="s">
        <v>125</v>
      </c>
      <c r="C17" s="26"/>
      <c r="D17" s="41"/>
      <c r="E17" s="41"/>
      <c r="F17" s="41"/>
      <c r="G17" s="42"/>
      <c r="H17" s="42"/>
      <c r="I17" s="41"/>
      <c r="J17" s="41"/>
      <c r="K17" s="43">
        <v>0.8</v>
      </c>
      <c r="L17" s="42">
        <v>0.8</v>
      </c>
    </row>
    <row r="18" spans="1:12">
      <c r="A18" s="135" t="s">
        <v>94</v>
      </c>
      <c r="B18" s="44" t="s">
        <v>93</v>
      </c>
      <c r="C18" s="26"/>
      <c r="D18" s="41">
        <v>0.85</v>
      </c>
      <c r="E18" s="41">
        <v>0.85</v>
      </c>
      <c r="F18" s="41">
        <v>0.85</v>
      </c>
      <c r="G18" s="42">
        <v>0.85</v>
      </c>
      <c r="H18" s="42">
        <v>0.85</v>
      </c>
      <c r="I18" s="41">
        <v>0.85</v>
      </c>
      <c r="J18" s="56">
        <v>1</v>
      </c>
      <c r="K18" s="43"/>
      <c r="L18" s="42"/>
    </row>
    <row r="19" spans="1:12" ht="15.5">
      <c r="A19" s="142" t="s">
        <v>126</v>
      </c>
      <c r="B19" s="140" t="s">
        <v>127</v>
      </c>
      <c r="C19" s="50" t="s">
        <v>106</v>
      </c>
      <c r="D19" s="51">
        <f>D15/D16*D18</f>
        <v>6.2333333333333325</v>
      </c>
      <c r="E19" s="51">
        <f>E15/E16*E18</f>
        <v>5.95</v>
      </c>
      <c r="F19" s="51">
        <f>F15/F16*F18</f>
        <v>2.8899999999999997</v>
      </c>
      <c r="G19" s="57">
        <f>G15/G16*G18</f>
        <v>1.02</v>
      </c>
      <c r="H19" s="57">
        <f>H14/H16*H18</f>
        <v>4.703333333333334</v>
      </c>
      <c r="I19" s="51">
        <f>I15/I16*I18</f>
        <v>14.166666666666668</v>
      </c>
      <c r="J19" s="51">
        <f>J15/J16*J18</f>
        <v>235</v>
      </c>
      <c r="K19" s="58">
        <f>K15/K16*K17</f>
        <v>12.923076923076923</v>
      </c>
      <c r="L19" s="57">
        <f>L15/L16*L17</f>
        <v>1.5384615384615383</v>
      </c>
    </row>
    <row r="20" spans="1:12">
      <c r="A20" s="135" t="s">
        <v>128</v>
      </c>
      <c r="B20" s="44" t="s">
        <v>105</v>
      </c>
      <c r="C20" s="26" t="s">
        <v>107</v>
      </c>
      <c r="D20" s="41">
        <v>18</v>
      </c>
      <c r="E20" s="41">
        <v>20</v>
      </c>
      <c r="F20" s="41">
        <v>9</v>
      </c>
      <c r="G20" s="42">
        <v>6</v>
      </c>
      <c r="H20" s="42">
        <v>28</v>
      </c>
      <c r="I20" s="41">
        <v>25</v>
      </c>
      <c r="J20" s="41">
        <v>78.5</v>
      </c>
      <c r="K20" s="43">
        <v>4.2</v>
      </c>
      <c r="L20" s="42">
        <v>4.2</v>
      </c>
    </row>
    <row r="21" spans="1:12" ht="15.5">
      <c r="A21" s="135" t="s">
        <v>129</v>
      </c>
      <c r="B21" s="55" t="s">
        <v>159</v>
      </c>
      <c r="C21" s="26"/>
      <c r="D21" s="41">
        <v>1.35</v>
      </c>
      <c r="E21" s="41">
        <v>1.35</v>
      </c>
      <c r="F21" s="41">
        <v>1.35</v>
      </c>
      <c r="G21" s="42">
        <v>1.35</v>
      </c>
      <c r="H21" s="42">
        <v>1.35</v>
      </c>
      <c r="I21" s="41">
        <v>1.35</v>
      </c>
      <c r="J21" s="41">
        <v>1.35</v>
      </c>
      <c r="K21" s="43">
        <v>1.35</v>
      </c>
      <c r="L21" s="42">
        <v>1.35</v>
      </c>
    </row>
    <row r="22" spans="1:12">
      <c r="A22" s="142" t="s">
        <v>130</v>
      </c>
      <c r="B22" s="59" t="s">
        <v>51</v>
      </c>
      <c r="C22" s="50" t="s">
        <v>12</v>
      </c>
      <c r="D22" s="60">
        <f t="shared" ref="D22:L22" si="0">D19/D20*1000/D21</f>
        <v>256.51577503429348</v>
      </c>
      <c r="E22" s="60">
        <f t="shared" si="0"/>
        <v>220.37037037037035</v>
      </c>
      <c r="F22" s="60">
        <f t="shared" si="0"/>
        <v>237.86008230452671</v>
      </c>
      <c r="G22" s="61">
        <f t="shared" si="0"/>
        <v>125.92592592592592</v>
      </c>
      <c r="H22" s="61">
        <f t="shared" si="0"/>
        <v>124.42680776014112</v>
      </c>
      <c r="I22" s="60">
        <f t="shared" si="0"/>
        <v>419.75308641975312</v>
      </c>
      <c r="J22" s="60">
        <f t="shared" si="0"/>
        <v>2217.5041283321534</v>
      </c>
      <c r="K22" s="62">
        <f t="shared" si="0"/>
        <v>2279.202279202279</v>
      </c>
      <c r="L22" s="61">
        <f t="shared" si="0"/>
        <v>271.33360466693796</v>
      </c>
    </row>
  </sheetData>
  <mergeCells count="1">
    <mergeCell ref="H6:H7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7"/>
  <sheetViews>
    <sheetView zoomScaleNormal="100" workbookViewId="0">
      <selection activeCell="F30" sqref="F30"/>
    </sheetView>
  </sheetViews>
  <sheetFormatPr baseColWidth="10" defaultRowHeight="12.5"/>
  <cols>
    <col min="3" max="3" width="4" customWidth="1"/>
    <col min="4" max="4" width="8.7265625" customWidth="1"/>
    <col min="5" max="9" width="7.7265625" customWidth="1"/>
    <col min="10" max="10" width="15.7265625" customWidth="1"/>
  </cols>
  <sheetData>
    <row r="1" spans="1:9">
      <c r="A1" t="s">
        <v>413</v>
      </c>
    </row>
    <row r="2" spans="1:9">
      <c r="A2" t="s">
        <v>74</v>
      </c>
    </row>
    <row r="3" spans="1:9">
      <c r="A3" t="s">
        <v>76</v>
      </c>
    </row>
    <row r="5" spans="1:9" ht="13">
      <c r="A5" s="11" t="s">
        <v>412</v>
      </c>
    </row>
    <row r="6" spans="1:9">
      <c r="D6" s="2" t="s">
        <v>1</v>
      </c>
      <c r="E6" s="2" t="s">
        <v>3</v>
      </c>
      <c r="F6" s="2" t="s">
        <v>2</v>
      </c>
      <c r="G6" s="3" t="s">
        <v>0</v>
      </c>
      <c r="H6" s="3" t="s">
        <v>52</v>
      </c>
    </row>
    <row r="7" spans="1:9" ht="13">
      <c r="A7" s="15" t="s">
        <v>411</v>
      </c>
      <c r="B7" s="6"/>
      <c r="C7" s="6"/>
      <c r="D7" s="6"/>
      <c r="E7" s="6"/>
      <c r="F7" s="6"/>
      <c r="G7" s="6"/>
      <c r="H7" s="6"/>
    </row>
    <row r="8" spans="1:9" ht="13">
      <c r="A8" t="s">
        <v>410</v>
      </c>
      <c r="C8" t="s">
        <v>7</v>
      </c>
      <c r="D8" s="106">
        <f>Aussteifungswand!D8</f>
        <v>836.4</v>
      </c>
      <c r="E8" s="106">
        <f>Aussteifungswand!E8</f>
        <v>2671.3</v>
      </c>
      <c r="F8" s="106">
        <f>Aussteifungswand!F8</f>
        <v>2671.3</v>
      </c>
      <c r="G8" s="106">
        <f>Aussteifungswand!G8</f>
        <v>2671.3</v>
      </c>
      <c r="H8" s="77">
        <v>2671</v>
      </c>
    </row>
    <row r="9" spans="1:9">
      <c r="A9" t="s">
        <v>409</v>
      </c>
      <c r="C9" t="s">
        <v>7</v>
      </c>
      <c r="D9" s="106">
        <f>Aussteifungswand!D9</f>
        <v>371</v>
      </c>
      <c r="E9" s="106">
        <f>Aussteifungswand!E9</f>
        <v>371</v>
      </c>
      <c r="F9" s="106">
        <f>Aussteifungswand!F9</f>
        <v>371</v>
      </c>
      <c r="G9" s="106">
        <f>Aussteifungswand!G9</f>
        <v>371</v>
      </c>
      <c r="H9" s="106">
        <v>371</v>
      </c>
    </row>
    <row r="10" spans="1:9">
      <c r="A10" t="s">
        <v>408</v>
      </c>
      <c r="C10" t="s">
        <v>7</v>
      </c>
      <c r="D10" s="14">
        <f>D8</f>
        <v>836.4</v>
      </c>
      <c r="E10" s="14">
        <f>D10+E8</f>
        <v>3507.7000000000003</v>
      </c>
      <c r="F10" s="14">
        <f>E10+F8</f>
        <v>6179</v>
      </c>
      <c r="G10" s="14">
        <f>F10+G8</f>
        <v>8850.2999999999993</v>
      </c>
      <c r="H10" s="14">
        <f>G10+H8</f>
        <v>11521.3</v>
      </c>
    </row>
    <row r="11" spans="1:9">
      <c r="A11" t="s">
        <v>20</v>
      </c>
      <c r="D11" s="14"/>
      <c r="E11" s="14"/>
      <c r="F11" s="14"/>
      <c r="G11" s="14"/>
      <c r="H11" s="19">
        <v>1.35</v>
      </c>
    </row>
    <row r="12" spans="1:9" ht="13">
      <c r="A12" t="s">
        <v>407</v>
      </c>
      <c r="C12" t="s">
        <v>7</v>
      </c>
      <c r="D12" s="106">
        <f>Aussteifungswand!D11</f>
        <v>188.5</v>
      </c>
      <c r="E12" s="106">
        <f>Aussteifungswand!E11</f>
        <v>687.9</v>
      </c>
      <c r="F12" s="106">
        <f>Aussteifungswand!F11</f>
        <v>687.9</v>
      </c>
      <c r="G12" s="106">
        <f>Aussteifungswand!G11</f>
        <v>687.9</v>
      </c>
      <c r="H12" s="77">
        <v>687.9</v>
      </c>
    </row>
    <row r="13" spans="1:9">
      <c r="A13" t="s">
        <v>406</v>
      </c>
      <c r="C13" t="s">
        <v>7</v>
      </c>
      <c r="D13" s="14">
        <f>D12</f>
        <v>188.5</v>
      </c>
      <c r="E13" s="14">
        <f>D13+E12</f>
        <v>876.4</v>
      </c>
      <c r="F13" s="14">
        <f>E13+F12</f>
        <v>1564.3</v>
      </c>
      <c r="G13" s="14">
        <f>F13+G12</f>
        <v>2252.1999999999998</v>
      </c>
      <c r="H13" s="14">
        <f>G13+H12</f>
        <v>2940.1</v>
      </c>
    </row>
    <row r="14" spans="1:9">
      <c r="A14" s="102" t="s">
        <v>20</v>
      </c>
      <c r="D14" s="14"/>
      <c r="E14" s="14"/>
      <c r="F14" s="14"/>
      <c r="G14" s="14"/>
      <c r="H14" s="19">
        <v>1.5</v>
      </c>
    </row>
    <row r="15" spans="1:9">
      <c r="A15" t="s">
        <v>405</v>
      </c>
      <c r="C15" t="s">
        <v>404</v>
      </c>
      <c r="I15" s="1">
        <f>(H14*H13+H11*H10)/1000</f>
        <v>19.963905</v>
      </c>
    </row>
    <row r="16" spans="1:9" s="7" customFormat="1" ht="13">
      <c r="A16" s="12" t="s">
        <v>403</v>
      </c>
    </row>
    <row r="17" spans="1:10">
      <c r="F17" s="2" t="s">
        <v>402</v>
      </c>
      <c r="G17" s="2" t="s">
        <v>401</v>
      </c>
      <c r="H17" s="2" t="s">
        <v>400</v>
      </c>
      <c r="I17" s="2" t="s">
        <v>399</v>
      </c>
    </row>
    <row r="18" spans="1:10" ht="13">
      <c r="A18" t="s">
        <v>398</v>
      </c>
      <c r="E18" t="s">
        <v>12</v>
      </c>
      <c r="F18" s="17">
        <v>5</v>
      </c>
      <c r="G18" s="17">
        <v>0.24</v>
      </c>
      <c r="H18" s="17">
        <v>0.24</v>
      </c>
    </row>
    <row r="19" spans="1:10" ht="13">
      <c r="A19" t="s">
        <v>397</v>
      </c>
      <c r="E19" t="s">
        <v>12</v>
      </c>
      <c r="F19" s="17">
        <v>0.24</v>
      </c>
      <c r="G19" s="17">
        <v>5.0999999999999996</v>
      </c>
      <c r="H19" s="17">
        <v>5.0999999999999996</v>
      </c>
    </row>
    <row r="20" spans="1:10" ht="13">
      <c r="A20" t="s">
        <v>396</v>
      </c>
      <c r="E20" t="s">
        <v>12</v>
      </c>
      <c r="F20" s="17">
        <v>0</v>
      </c>
      <c r="G20" s="17">
        <v>-2.5</v>
      </c>
      <c r="H20" s="17">
        <v>2.5</v>
      </c>
      <c r="I20" s="1">
        <f>(F20*F22+G20*G22+H20*H22)/I22</f>
        <v>0</v>
      </c>
    </row>
    <row r="21" spans="1:10" ht="13">
      <c r="A21" t="s">
        <v>395</v>
      </c>
      <c r="E21" t="s">
        <v>12</v>
      </c>
      <c r="F21" s="17">
        <v>-2.625</v>
      </c>
      <c r="G21" s="17">
        <f>F21-G19/2</f>
        <v>-5.1749999999999998</v>
      </c>
      <c r="H21" s="17">
        <f>G21</f>
        <v>-5.1749999999999998</v>
      </c>
      <c r="I21" s="1">
        <f>(F21*F22+G21*G22+H21*H22)/I22</f>
        <v>-4.3361842105263166</v>
      </c>
    </row>
    <row r="22" spans="1:10">
      <c r="A22" t="s">
        <v>47</v>
      </c>
      <c r="E22" s="102" t="s">
        <v>131</v>
      </c>
      <c r="F22" s="1">
        <f>F18*F19</f>
        <v>1.2</v>
      </c>
      <c r="G22" s="1">
        <f>G18*G19</f>
        <v>1.224</v>
      </c>
      <c r="H22" s="1">
        <f>H18*H19</f>
        <v>1.224</v>
      </c>
      <c r="I22" s="1">
        <f>F22+G22+H22</f>
        <v>3.6479999999999997</v>
      </c>
    </row>
    <row r="23" spans="1:10" ht="14.5">
      <c r="A23" t="s">
        <v>394</v>
      </c>
      <c r="E23" s="102" t="s">
        <v>386</v>
      </c>
      <c r="F23" s="1">
        <f>F19^3*F18/12</f>
        <v>5.7600000000000004E-3</v>
      </c>
      <c r="G23" s="1">
        <f>G19^3*G18/12</f>
        <v>2.6530199999999993</v>
      </c>
      <c r="H23" s="1">
        <f>H19^3*H18/12</f>
        <v>2.6530199999999993</v>
      </c>
      <c r="I23" s="1">
        <f>F23+G23+H23</f>
        <v>5.3117999999999981</v>
      </c>
    </row>
    <row r="24" spans="1:10" ht="14.5">
      <c r="A24" t="s">
        <v>393</v>
      </c>
      <c r="E24" s="102" t="s">
        <v>386</v>
      </c>
      <c r="F24" s="1">
        <f>F18^3*F19/12</f>
        <v>2.5</v>
      </c>
      <c r="G24" s="1">
        <f>G18^3*G19/12</f>
        <v>5.8751999999999997E-3</v>
      </c>
      <c r="H24" s="1">
        <f>H18^3*H19/12</f>
        <v>5.8751999999999997E-3</v>
      </c>
      <c r="I24" s="1">
        <f>SUM(F24:H24)</f>
        <v>2.5117504000000004</v>
      </c>
    </row>
    <row r="25" spans="1:10">
      <c r="A25" t="s">
        <v>392</v>
      </c>
      <c r="E25" t="s">
        <v>12</v>
      </c>
      <c r="F25" s="1">
        <f>F20-I20</f>
        <v>0</v>
      </c>
      <c r="G25" s="1">
        <f>G20-I20</f>
        <v>-2.5</v>
      </c>
      <c r="H25" s="1">
        <f>H20-I20</f>
        <v>2.5</v>
      </c>
    </row>
    <row r="26" spans="1:10">
      <c r="A26" t="s">
        <v>391</v>
      </c>
      <c r="E26" t="s">
        <v>12</v>
      </c>
      <c r="F26" s="1">
        <f>F21-I21</f>
        <v>1.7111842105263166</v>
      </c>
      <c r="G26" s="1">
        <f>G21-I21</f>
        <v>-0.83881578947368318</v>
      </c>
      <c r="H26" s="1">
        <f>H21-I21</f>
        <v>-0.83881578947368318</v>
      </c>
    </row>
    <row r="27" spans="1:10">
      <c r="A27" t="s">
        <v>390</v>
      </c>
      <c r="E27" s="102" t="s">
        <v>131</v>
      </c>
      <c r="F27" s="1">
        <f>F26^2*F22+F23</f>
        <v>3.519541682825488</v>
      </c>
      <c r="G27" s="1">
        <f>G26^2*G22+G23</f>
        <v>3.5142410006925178</v>
      </c>
      <c r="H27" s="1">
        <f>H26^2*H22+H23</f>
        <v>3.5142410006925178</v>
      </c>
      <c r="I27" s="1">
        <f>SUM(F27:H27)</f>
        <v>10.548023684210523</v>
      </c>
    </row>
    <row r="28" spans="1:10">
      <c r="A28" t="s">
        <v>389</v>
      </c>
      <c r="E28" s="102" t="s">
        <v>131</v>
      </c>
      <c r="F28" s="1">
        <f>F25^2*F22+F24</f>
        <v>2.5</v>
      </c>
      <c r="G28" s="1">
        <f>G25^2*G22+G24</f>
        <v>7.6558751999999997</v>
      </c>
      <c r="H28" s="1">
        <f>H25^2*H22+H24</f>
        <v>7.6558751999999997</v>
      </c>
      <c r="I28" s="1">
        <f>SUM(F28:H28)</f>
        <v>17.811750400000001</v>
      </c>
    </row>
    <row r="29" spans="1:10" s="6" customFormat="1" ht="13">
      <c r="A29" s="15" t="s">
        <v>388</v>
      </c>
    </row>
    <row r="30" spans="1:10" ht="14.5">
      <c r="A30" t="s">
        <v>387</v>
      </c>
      <c r="E30" s="102" t="s">
        <v>386</v>
      </c>
      <c r="I30" s="1">
        <f>MIN(I23:I28)</f>
        <v>2.5117504000000004</v>
      </c>
    </row>
    <row r="31" spans="1:10">
      <c r="A31" t="s">
        <v>385</v>
      </c>
      <c r="E31" s="102" t="s">
        <v>150</v>
      </c>
      <c r="I31" s="14">
        <f>'Genaues Verfahren S6'!G40</f>
        <v>6881.9006243699278</v>
      </c>
      <c r="J31" s="102" t="s">
        <v>384</v>
      </c>
    </row>
    <row r="32" spans="1:10" ht="13">
      <c r="A32" t="s">
        <v>383</v>
      </c>
      <c r="E32" t="s">
        <v>12</v>
      </c>
      <c r="I32" s="16">
        <v>15.48</v>
      </c>
    </row>
    <row r="33" spans="1:11">
      <c r="A33" t="s">
        <v>382</v>
      </c>
      <c r="I33">
        <v>5</v>
      </c>
    </row>
    <row r="34" spans="1:11">
      <c r="A34" t="s">
        <v>381</v>
      </c>
      <c r="I34" s="105">
        <v>0.6</v>
      </c>
    </row>
    <row r="35" spans="1:11" s="35" customFormat="1" ht="17.149999999999999" customHeight="1">
      <c r="A35" s="35" t="s">
        <v>380</v>
      </c>
      <c r="I35" s="104">
        <f>I32*SQRT(I15/(I30*I31))</f>
        <v>0.52607936226837659</v>
      </c>
      <c r="J35" s="103" t="s">
        <v>504</v>
      </c>
      <c r="K35" s="103" t="s">
        <v>379</v>
      </c>
    </row>
    <row r="36" spans="1:11">
      <c r="A36" s="102" t="s">
        <v>133</v>
      </c>
      <c r="B36" s="44" t="s">
        <v>51</v>
      </c>
      <c r="I36">
        <f>I35/I34</f>
        <v>0.87679893711396106</v>
      </c>
      <c r="J36" t="s">
        <v>378</v>
      </c>
    </row>
    <row r="37" spans="1:11" ht="13">
      <c r="A37" s="11" t="s">
        <v>377</v>
      </c>
    </row>
  </sheetData>
  <pageMargins left="0.78740157499999996" right="0.52" top="0.984251969" bottom="0.984251969" header="0.4921259845" footer="0.4921259845"/>
  <pageSetup paperSize="9" orientation="portrait" r:id="rId1"/>
  <headerFooter alignWithMargins="0">
    <oddHeader>&amp;CMW 04.12.2014: Räumliche Steifigkeit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4"/>
  <sheetViews>
    <sheetView topLeftCell="A22" zoomScaleNormal="100" workbookViewId="0">
      <selection activeCell="L71" sqref="L71"/>
    </sheetView>
  </sheetViews>
  <sheetFormatPr baseColWidth="10" defaultRowHeight="12.5"/>
  <cols>
    <col min="1" max="1" width="24.54296875" customWidth="1"/>
    <col min="2" max="2" width="5.26953125" customWidth="1"/>
    <col min="3" max="3" width="6.81640625" customWidth="1"/>
    <col min="4" max="6" width="6.7265625" customWidth="1"/>
    <col min="7" max="7" width="7.7265625" customWidth="1"/>
    <col min="8" max="8" width="1.453125" customWidth="1"/>
    <col min="9" max="9" width="25.26953125" customWidth="1"/>
  </cols>
  <sheetData>
    <row r="1" spans="1:9">
      <c r="A1" t="s">
        <v>503</v>
      </c>
    </row>
    <row r="2" spans="1:9">
      <c r="A2" t="s">
        <v>413</v>
      </c>
    </row>
    <row r="3" spans="1:9">
      <c r="A3" t="s">
        <v>74</v>
      </c>
    </row>
    <row r="4" spans="1:9">
      <c r="A4" t="s">
        <v>76</v>
      </c>
    </row>
    <row r="5" spans="1:9">
      <c r="D5" s="2" t="s">
        <v>1</v>
      </c>
      <c r="E5" s="2" t="s">
        <v>3</v>
      </c>
      <c r="F5" s="2" t="s">
        <v>2</v>
      </c>
      <c r="G5" s="3" t="s">
        <v>0</v>
      </c>
      <c r="I5" s="110"/>
    </row>
    <row r="6" spans="1:9" ht="13">
      <c r="A6" s="102" t="s">
        <v>502</v>
      </c>
      <c r="D6" s="2"/>
      <c r="E6" s="2"/>
      <c r="F6" s="2"/>
      <c r="G6" s="3"/>
      <c r="I6" s="110"/>
    </row>
    <row r="7" spans="1:9" s="6" customFormat="1" ht="13">
      <c r="A7" s="15" t="s">
        <v>501</v>
      </c>
    </row>
    <row r="8" spans="1:9" ht="13">
      <c r="A8" t="s">
        <v>410</v>
      </c>
      <c r="C8" t="s">
        <v>7</v>
      </c>
      <c r="D8" s="77">
        <v>836.4</v>
      </c>
      <c r="E8" s="77">
        <v>2671.3</v>
      </c>
      <c r="F8" s="77">
        <v>2671.3</v>
      </c>
      <c r="G8" s="77">
        <v>2671.3</v>
      </c>
      <c r="I8" t="s">
        <v>485</v>
      </c>
    </row>
    <row r="9" spans="1:9" ht="13">
      <c r="A9" t="s">
        <v>409</v>
      </c>
      <c r="C9" t="s">
        <v>7</v>
      </c>
      <c r="D9" s="77">
        <v>371</v>
      </c>
      <c r="E9" s="77">
        <v>371</v>
      </c>
      <c r="F9" s="77">
        <v>371</v>
      </c>
      <c r="G9" s="77">
        <v>371</v>
      </c>
      <c r="I9" t="s">
        <v>485</v>
      </c>
    </row>
    <row r="10" spans="1:9">
      <c r="A10" t="s">
        <v>408</v>
      </c>
      <c r="C10" t="s">
        <v>7</v>
      </c>
      <c r="D10" s="14">
        <f>D8</f>
        <v>836.4</v>
      </c>
      <c r="E10" s="14">
        <f>D10+E8</f>
        <v>3507.7000000000003</v>
      </c>
      <c r="F10" s="14">
        <f>E10+F8</f>
        <v>6179</v>
      </c>
      <c r="G10" s="14">
        <f>F10+G8</f>
        <v>8850.2999999999993</v>
      </c>
    </row>
    <row r="11" spans="1:9" ht="13">
      <c r="A11" t="s">
        <v>407</v>
      </c>
      <c r="C11" t="s">
        <v>7</v>
      </c>
      <c r="D11" s="77">
        <v>188.5</v>
      </c>
      <c r="E11" s="77">
        <v>687.9</v>
      </c>
      <c r="F11" s="77">
        <v>687.9</v>
      </c>
      <c r="G11" s="77">
        <v>687.9</v>
      </c>
      <c r="I11" t="s">
        <v>485</v>
      </c>
    </row>
    <row r="12" spans="1:9">
      <c r="A12" t="s">
        <v>406</v>
      </c>
      <c r="C12" t="s">
        <v>7</v>
      </c>
      <c r="D12" s="14">
        <f>D11</f>
        <v>188.5</v>
      </c>
      <c r="E12" s="14">
        <f>D12+E11</f>
        <v>876.4</v>
      </c>
      <c r="F12" s="14">
        <f>E12+F11</f>
        <v>1564.3</v>
      </c>
      <c r="G12" s="14">
        <f>F12+G11</f>
        <v>2252.1999999999998</v>
      </c>
    </row>
    <row r="13" spans="1:9" ht="13">
      <c r="A13" s="11" t="s">
        <v>500</v>
      </c>
    </row>
    <row r="14" spans="1:9" ht="13">
      <c r="A14" t="s">
        <v>499</v>
      </c>
      <c r="B14" t="s">
        <v>51</v>
      </c>
      <c r="C14" t="s">
        <v>12</v>
      </c>
      <c r="D14" s="16">
        <v>17</v>
      </c>
    </row>
    <row r="15" spans="1:9">
      <c r="A15" t="s">
        <v>498</v>
      </c>
      <c r="D15" s="74">
        <f>1/(100*SQRT(D14))</f>
        <v>2.4253562503633295E-3</v>
      </c>
      <c r="E15" s="74">
        <f>D15</f>
        <v>2.4253562503633295E-3</v>
      </c>
      <c r="F15" s="74">
        <f>E15</f>
        <v>2.4253562503633295E-3</v>
      </c>
      <c r="G15" s="74">
        <f>F15</f>
        <v>2.4253562503633295E-3</v>
      </c>
      <c r="I15" s="101" t="s">
        <v>497</v>
      </c>
    </row>
    <row r="16" spans="1:9">
      <c r="A16" t="s">
        <v>410</v>
      </c>
      <c r="C16" t="s">
        <v>7</v>
      </c>
      <c r="D16" s="9">
        <f>D15*D8</f>
        <v>2.0285679678038888</v>
      </c>
      <c r="E16" s="9">
        <f>E15*E8</f>
        <v>6.4788541515955629</v>
      </c>
      <c r="F16" s="9">
        <f>F15*F8</f>
        <v>6.4788541515955629</v>
      </c>
      <c r="G16" s="9">
        <f>G15*G8</f>
        <v>6.4788541515955629</v>
      </c>
    </row>
    <row r="17" spans="1:9">
      <c r="A17" t="s">
        <v>408</v>
      </c>
      <c r="C17" t="s">
        <v>7</v>
      </c>
      <c r="D17" s="9">
        <f>D16</f>
        <v>2.0285679678038888</v>
      </c>
      <c r="E17" s="9">
        <f>D17+E16</f>
        <v>8.5074221193994521</v>
      </c>
      <c r="F17" s="9">
        <f>E17+F16</f>
        <v>14.986276270995015</v>
      </c>
      <c r="G17" s="9">
        <f>F17+G16</f>
        <v>21.465130422590576</v>
      </c>
    </row>
    <row r="18" spans="1:9">
      <c r="A18" t="s">
        <v>407</v>
      </c>
      <c r="C18" t="s">
        <v>7</v>
      </c>
      <c r="D18" s="9">
        <f>D11*D15</f>
        <v>0.45717965319348763</v>
      </c>
      <c r="E18" s="9">
        <f>E11*E15</f>
        <v>1.6684025646249343</v>
      </c>
      <c r="F18" s="9">
        <f>F11*F15</f>
        <v>1.6684025646249343</v>
      </c>
      <c r="G18" s="9">
        <f>G11*G15</f>
        <v>1.6684025646249343</v>
      </c>
    </row>
    <row r="19" spans="1:9">
      <c r="A19" t="s">
        <v>406</v>
      </c>
      <c r="C19" t="s">
        <v>7</v>
      </c>
      <c r="D19" s="9">
        <f>D18</f>
        <v>0.45717965319348763</v>
      </c>
      <c r="E19" s="9">
        <f>D19+E18</f>
        <v>2.125582217818422</v>
      </c>
      <c r="F19" s="9">
        <f>E19+F18</f>
        <v>3.7939847824433564</v>
      </c>
      <c r="G19" s="9">
        <f>F19+G18</f>
        <v>5.4623873470682902</v>
      </c>
    </row>
    <row r="20" spans="1:9" ht="13">
      <c r="A20" s="11" t="s">
        <v>496</v>
      </c>
    </row>
    <row r="21" spans="1:9" ht="13">
      <c r="A21" t="s">
        <v>495</v>
      </c>
      <c r="B21" t="s">
        <v>49</v>
      </c>
      <c r="C21" t="s">
        <v>12</v>
      </c>
      <c r="D21" s="16">
        <v>15.5</v>
      </c>
      <c r="E21">
        <f t="shared" ref="E21:G22" si="0">D21</f>
        <v>15.5</v>
      </c>
      <c r="F21">
        <f t="shared" si="0"/>
        <v>15.5</v>
      </c>
      <c r="G21">
        <f t="shared" si="0"/>
        <v>15.5</v>
      </c>
    </row>
    <row r="22" spans="1:9" ht="13">
      <c r="A22" t="s">
        <v>494</v>
      </c>
      <c r="C22" s="102" t="s">
        <v>132</v>
      </c>
      <c r="D22" s="17">
        <v>0.81</v>
      </c>
      <c r="E22" s="101">
        <f t="shared" si="0"/>
        <v>0.81</v>
      </c>
      <c r="F22" s="101">
        <f t="shared" si="0"/>
        <v>0.81</v>
      </c>
      <c r="G22" s="101">
        <f t="shared" si="0"/>
        <v>0.81</v>
      </c>
      <c r="I22" t="s">
        <v>493</v>
      </c>
    </row>
    <row r="23" spans="1:9" ht="13">
      <c r="A23" t="s">
        <v>492</v>
      </c>
      <c r="C23" t="s">
        <v>12</v>
      </c>
      <c r="D23" s="17">
        <v>2.62</v>
      </c>
      <c r="E23" s="17">
        <v>2.6749999999999998</v>
      </c>
      <c r="F23" s="17">
        <v>2.6749999999999998</v>
      </c>
      <c r="G23" s="17">
        <v>2.6749999999999998</v>
      </c>
    </row>
    <row r="24" spans="1:9">
      <c r="A24" t="s">
        <v>491</v>
      </c>
      <c r="C24" t="s">
        <v>7</v>
      </c>
      <c r="D24" s="9">
        <f>D23*D22*D21</f>
        <v>32.894100000000002</v>
      </c>
      <c r="E24" s="9">
        <f>E23*E22*E21</f>
        <v>33.584625000000003</v>
      </c>
      <c r="F24" s="9">
        <f>F23*F22*F21</f>
        <v>33.584625000000003</v>
      </c>
      <c r="G24" s="9">
        <f>G23*G22*G21</f>
        <v>33.584625000000003</v>
      </c>
    </row>
    <row r="25" spans="1:9">
      <c r="A25" t="s">
        <v>490</v>
      </c>
      <c r="C25" t="s">
        <v>7</v>
      </c>
      <c r="D25" s="9">
        <f>D24</f>
        <v>32.894100000000002</v>
      </c>
      <c r="E25" s="9">
        <f>D25+E24</f>
        <v>66.478724999999997</v>
      </c>
      <c r="F25" s="9">
        <f>E25+F24</f>
        <v>100.06335</v>
      </c>
      <c r="G25" s="9">
        <f>F25+G24</f>
        <v>133.647975</v>
      </c>
    </row>
    <row r="26" spans="1:9" s="6" customFormat="1" ht="13">
      <c r="A26" s="15" t="s">
        <v>489</v>
      </c>
    </row>
    <row r="27" spans="1:9" ht="13">
      <c r="A27" t="s">
        <v>488</v>
      </c>
      <c r="D27" s="93">
        <v>0.08</v>
      </c>
      <c r="E27" s="73">
        <f t="shared" ref="E27:G29" si="1">D27</f>
        <v>0.08</v>
      </c>
      <c r="F27" s="73">
        <f t="shared" si="1"/>
        <v>0.08</v>
      </c>
      <c r="G27" s="73">
        <f t="shared" si="1"/>
        <v>0.08</v>
      </c>
      <c r="I27" t="s">
        <v>485</v>
      </c>
    </row>
    <row r="28" spans="1:9" ht="13">
      <c r="A28" t="s">
        <v>487</v>
      </c>
      <c r="D28" s="93">
        <v>0.1</v>
      </c>
      <c r="E28" s="73">
        <f t="shared" si="1"/>
        <v>0.1</v>
      </c>
      <c r="F28" s="73">
        <f t="shared" si="1"/>
        <v>0.1</v>
      </c>
      <c r="G28" s="73">
        <f t="shared" si="1"/>
        <v>0.1</v>
      </c>
      <c r="I28" t="s">
        <v>485</v>
      </c>
    </row>
    <row r="29" spans="1:9" ht="13">
      <c r="A29" t="s">
        <v>486</v>
      </c>
      <c r="D29" s="93">
        <v>0.52500000000000002</v>
      </c>
      <c r="E29" s="73">
        <f t="shared" si="1"/>
        <v>0.52500000000000002</v>
      </c>
      <c r="F29" s="73">
        <f t="shared" si="1"/>
        <v>0.52500000000000002</v>
      </c>
      <c r="G29" s="73">
        <f t="shared" si="1"/>
        <v>0.52500000000000002</v>
      </c>
      <c r="I29" t="s">
        <v>485</v>
      </c>
    </row>
    <row r="30" spans="1:9" ht="13">
      <c r="A30" t="s">
        <v>484</v>
      </c>
      <c r="C30" t="s">
        <v>12</v>
      </c>
      <c r="D30" s="17">
        <v>2.75</v>
      </c>
      <c r="E30" s="17">
        <v>3.2</v>
      </c>
      <c r="F30" s="17">
        <v>3.2</v>
      </c>
      <c r="G30" s="17">
        <v>3.2</v>
      </c>
    </row>
    <row r="31" spans="1:9">
      <c r="A31" t="s">
        <v>483</v>
      </c>
      <c r="D31" s="101">
        <f>E31+D30</f>
        <v>12.350000000000001</v>
      </c>
      <c r="E31" s="101">
        <f>F31+E30</f>
        <v>9.6000000000000014</v>
      </c>
      <c r="F31" s="101">
        <f>G31+F30</f>
        <v>6.4</v>
      </c>
      <c r="G31" s="101">
        <f>G30</f>
        <v>3.2</v>
      </c>
    </row>
    <row r="32" spans="1:9" ht="13">
      <c r="A32" s="11" t="s">
        <v>482</v>
      </c>
    </row>
    <row r="33" spans="1:9" ht="13">
      <c r="A33" t="s">
        <v>481</v>
      </c>
      <c r="D33" s="17">
        <v>1</v>
      </c>
      <c r="E33" s="101">
        <f t="shared" ref="E33:G35" si="2">D33</f>
        <v>1</v>
      </c>
      <c r="F33" s="101">
        <f t="shared" si="2"/>
        <v>1</v>
      </c>
      <c r="G33" s="101">
        <f t="shared" si="2"/>
        <v>1</v>
      </c>
      <c r="I33" t="s">
        <v>478</v>
      </c>
    </row>
    <row r="34" spans="1:9" ht="13">
      <c r="A34" t="s">
        <v>480</v>
      </c>
      <c r="D34" s="17">
        <v>0</v>
      </c>
      <c r="E34" s="101">
        <f t="shared" si="2"/>
        <v>0</v>
      </c>
      <c r="F34" s="101">
        <f t="shared" si="2"/>
        <v>0</v>
      </c>
      <c r="G34" s="101">
        <f t="shared" si="2"/>
        <v>0</v>
      </c>
    </row>
    <row r="35" spans="1:9" ht="13">
      <c r="A35" t="s">
        <v>479</v>
      </c>
      <c r="D35" s="17">
        <v>1.5</v>
      </c>
      <c r="E35" s="101">
        <f t="shared" si="2"/>
        <v>1.5</v>
      </c>
      <c r="F35" s="101">
        <f t="shared" si="2"/>
        <v>1.5</v>
      </c>
      <c r="G35" s="101">
        <f t="shared" si="2"/>
        <v>1.5</v>
      </c>
      <c r="I35" t="s">
        <v>478</v>
      </c>
    </row>
    <row r="36" spans="1:9">
      <c r="A36" t="s">
        <v>440</v>
      </c>
      <c r="D36" s="14">
        <f>D29*D31*(D16*D33+D18*D34+D24*D35)</f>
        <v>333.06840887374852</v>
      </c>
      <c r="E36" s="14">
        <f>E29*E31*(E16*E33+E18*E34+E24*E35)</f>
        <v>286.5531899240417</v>
      </c>
      <c r="F36" s="14">
        <f>F29*F31*(F16*F33+F18*F34+F24*F35)</f>
        <v>191.03545994936113</v>
      </c>
      <c r="G36" s="14">
        <f>G29*G31*(G16*G33+G18*G34+G24*G35)</f>
        <v>95.517729974680563</v>
      </c>
    </row>
    <row r="37" spans="1:9">
      <c r="A37" t="s">
        <v>439</v>
      </c>
      <c r="B37" t="s">
        <v>196</v>
      </c>
      <c r="C37" t="s">
        <v>315</v>
      </c>
      <c r="D37" s="14">
        <f>D36</f>
        <v>333.06840887374852</v>
      </c>
      <c r="E37" s="14">
        <f>D37+E36</f>
        <v>619.62159879779028</v>
      </c>
      <c r="F37" s="14">
        <f>E37+F36</f>
        <v>810.65705874715138</v>
      </c>
      <c r="G37" s="14">
        <f>F37+G36</f>
        <v>906.17478872183199</v>
      </c>
    </row>
    <row r="38" spans="1:9">
      <c r="A38" t="s">
        <v>442</v>
      </c>
      <c r="B38" t="s">
        <v>441</v>
      </c>
      <c r="C38" t="s">
        <v>7</v>
      </c>
      <c r="G38" s="14">
        <f>G27*(G10+G9)*G33+G28*G12*G34</f>
        <v>737.70399999999995</v>
      </c>
    </row>
    <row r="39" spans="1:9">
      <c r="A39" t="s">
        <v>477</v>
      </c>
      <c r="B39" t="s">
        <v>476</v>
      </c>
      <c r="C39" t="s">
        <v>7</v>
      </c>
      <c r="G39" s="108">
        <f>G17*G33+G19*G34+G25*G35</f>
        <v>221.93709292259058</v>
      </c>
    </row>
    <row r="40" spans="1:9" s="6" customFormat="1" ht="13">
      <c r="A40" s="15" t="s">
        <v>437</v>
      </c>
    </row>
    <row r="41" spans="1:9">
      <c r="A41" t="s">
        <v>436</v>
      </c>
      <c r="B41" t="s">
        <v>435</v>
      </c>
      <c r="C41" t="s">
        <v>12</v>
      </c>
      <c r="G41" s="1">
        <f>G37/G38</f>
        <v>1.2283717977967208</v>
      </c>
      <c r="I41" t="s">
        <v>475</v>
      </c>
    </row>
    <row r="42" spans="1:9" ht="13">
      <c r="A42" t="s">
        <v>11</v>
      </c>
      <c r="B42" t="s">
        <v>48</v>
      </c>
      <c r="C42" t="s">
        <v>12</v>
      </c>
      <c r="G42" s="17">
        <v>0.24</v>
      </c>
    </row>
    <row r="43" spans="1:9" ht="13">
      <c r="A43" t="s">
        <v>474</v>
      </c>
      <c r="B43" t="s">
        <v>226</v>
      </c>
      <c r="C43" t="s">
        <v>12</v>
      </c>
      <c r="G43" s="17">
        <v>5.0999999999999996</v>
      </c>
      <c r="I43" s="109" t="s">
        <v>473</v>
      </c>
    </row>
    <row r="44" spans="1:9">
      <c r="A44" t="s">
        <v>472</v>
      </c>
      <c r="B44" t="s">
        <v>471</v>
      </c>
      <c r="C44" t="s">
        <v>12</v>
      </c>
      <c r="G44" s="101">
        <f>1.5*(G43-2*G41)</f>
        <v>3.9648846066098371</v>
      </c>
      <c r="I44" t="s">
        <v>470</v>
      </c>
    </row>
    <row r="45" spans="1:9">
      <c r="A45" t="s">
        <v>469</v>
      </c>
      <c r="B45" t="s">
        <v>468</v>
      </c>
      <c r="C45" t="s">
        <v>12</v>
      </c>
      <c r="G45" s="101">
        <f>MIN(G43*1.125,G44*1.333)</f>
        <v>5.2851911806109131</v>
      </c>
      <c r="I45" t="s">
        <v>462</v>
      </c>
    </row>
    <row r="46" spans="1:9">
      <c r="A46" t="s">
        <v>467</v>
      </c>
      <c r="B46" t="s">
        <v>187</v>
      </c>
      <c r="C46" s="102" t="s">
        <v>131</v>
      </c>
      <c r="G46" s="101">
        <f>G45*G42</f>
        <v>1.268445883346619</v>
      </c>
      <c r="I46" t="s">
        <v>466</v>
      </c>
    </row>
    <row r="47" spans="1:9">
      <c r="A47" t="s">
        <v>222</v>
      </c>
      <c r="B47" t="s">
        <v>465</v>
      </c>
      <c r="C47" s="102" t="s">
        <v>150</v>
      </c>
      <c r="G47" s="1">
        <f>G38/G46/1000</f>
        <v>0.58158098006804193</v>
      </c>
      <c r="I47" t="s">
        <v>464</v>
      </c>
    </row>
    <row r="48" spans="1:9" ht="13">
      <c r="A48" t="s">
        <v>463</v>
      </c>
      <c r="B48" t="s">
        <v>218</v>
      </c>
      <c r="G48" s="17">
        <v>1</v>
      </c>
      <c r="I48" t="s">
        <v>462</v>
      </c>
    </row>
    <row r="49" spans="1:9" ht="13">
      <c r="A49" s="11" t="s">
        <v>22</v>
      </c>
    </row>
    <row r="50" spans="1:9">
      <c r="A50" t="s">
        <v>232</v>
      </c>
      <c r="B50" t="s">
        <v>233</v>
      </c>
      <c r="C50" s="102" t="s">
        <v>150</v>
      </c>
      <c r="G50" s="19">
        <f>'Genaues Verfahren S6'!G33</f>
        <v>25</v>
      </c>
      <c r="H50" s="1"/>
      <c r="I50" s="101" t="s">
        <v>234</v>
      </c>
    </row>
    <row r="51" spans="1:9" ht="13">
      <c r="A51" t="s">
        <v>235</v>
      </c>
      <c r="B51" t="s">
        <v>236</v>
      </c>
      <c r="C51" s="102" t="s">
        <v>150</v>
      </c>
      <c r="G51" s="1">
        <f>G50*0.032</f>
        <v>0.8</v>
      </c>
      <c r="H51" s="1"/>
      <c r="I51" s="101" t="s">
        <v>237</v>
      </c>
    </row>
    <row r="52" spans="1:9" ht="13">
      <c r="A52" t="s">
        <v>200</v>
      </c>
      <c r="B52" t="s">
        <v>201</v>
      </c>
      <c r="C52" s="102" t="s">
        <v>150</v>
      </c>
      <c r="G52" s="16">
        <v>0.08</v>
      </c>
      <c r="H52" s="11"/>
      <c r="I52" s="101" t="s">
        <v>461</v>
      </c>
    </row>
    <row r="53" spans="1:9">
      <c r="A53" s="102" t="s">
        <v>460</v>
      </c>
      <c r="B53" s="102" t="s">
        <v>459</v>
      </c>
      <c r="C53" s="102" t="s">
        <v>150</v>
      </c>
      <c r="G53" s="1">
        <f>G52+0.4*G47</f>
        <v>0.31263239202721677</v>
      </c>
      <c r="H53" s="1"/>
      <c r="I53" s="101" t="s">
        <v>458</v>
      </c>
    </row>
    <row r="54" spans="1:9">
      <c r="A54" s="102" t="s">
        <v>457</v>
      </c>
      <c r="B54" s="102" t="s">
        <v>456</v>
      </c>
      <c r="C54" s="102" t="s">
        <v>150</v>
      </c>
      <c r="G54" s="1">
        <f>0.45*G51*SQRT(1+G47/G51)</f>
        <v>0.47309208276087528</v>
      </c>
      <c r="H54" s="1"/>
      <c r="I54" s="101" t="s">
        <v>455</v>
      </c>
    </row>
    <row r="55" spans="1:9">
      <c r="A55" s="102" t="s">
        <v>454</v>
      </c>
      <c r="B55" s="102" t="s">
        <v>453</v>
      </c>
      <c r="C55" s="102" t="s">
        <v>150</v>
      </c>
      <c r="G55" s="1">
        <f>MIN(G53,G54)</f>
        <v>0.31263239202721677</v>
      </c>
      <c r="H55" s="1"/>
      <c r="I55" s="101" t="s">
        <v>452</v>
      </c>
    </row>
    <row r="56" spans="1:9" ht="13">
      <c r="A56" s="102" t="s">
        <v>451</v>
      </c>
      <c r="B56" s="102" t="s">
        <v>450</v>
      </c>
      <c r="G56" s="17">
        <v>1.5</v>
      </c>
      <c r="H56" s="1"/>
      <c r="I56" s="101" t="s">
        <v>449</v>
      </c>
    </row>
    <row r="57" spans="1:9">
      <c r="A57" s="102" t="s">
        <v>199</v>
      </c>
      <c r="B57" s="102" t="s">
        <v>448</v>
      </c>
      <c r="C57" t="s">
        <v>7</v>
      </c>
      <c r="G57" s="108">
        <f>G42*G45*G55/(G56*G48)*1000</f>
        <v>264.3715137784863</v>
      </c>
      <c r="H57" s="1"/>
      <c r="I57" s="101"/>
    </row>
    <row r="58" spans="1:9">
      <c r="A58" s="102" t="s">
        <v>133</v>
      </c>
      <c r="B58" s="44" t="s">
        <v>51</v>
      </c>
      <c r="G58">
        <f>G39/G57</f>
        <v>0.83948943572093393</v>
      </c>
      <c r="H58" t="s">
        <v>378</v>
      </c>
    </row>
    <row r="59" spans="1:9">
      <c r="A59" s="102"/>
      <c r="B59" s="102"/>
      <c r="G59" s="108"/>
      <c r="H59" s="1"/>
      <c r="I59" s="101"/>
    </row>
    <row r="61" spans="1:9" s="6" customFormat="1" ht="13">
      <c r="A61" s="15" t="s">
        <v>447</v>
      </c>
      <c r="I61" s="6" t="s">
        <v>421</v>
      </c>
    </row>
    <row r="62" spans="1:9" ht="13">
      <c r="A62" s="107" t="s">
        <v>446</v>
      </c>
    </row>
    <row r="63" spans="1:9" ht="13">
      <c r="A63" t="s">
        <v>445</v>
      </c>
      <c r="C63" s="13" t="s">
        <v>57</v>
      </c>
      <c r="D63" s="17">
        <v>1</v>
      </c>
      <c r="E63" s="101">
        <f t="shared" ref="E63:G65" si="3">D63</f>
        <v>1</v>
      </c>
      <c r="F63" s="101">
        <f t="shared" si="3"/>
        <v>1</v>
      </c>
      <c r="G63" s="101">
        <f t="shared" si="3"/>
        <v>1</v>
      </c>
    </row>
    <row r="64" spans="1:9" ht="13">
      <c r="A64" t="s">
        <v>444</v>
      </c>
      <c r="C64" s="13" t="s">
        <v>57</v>
      </c>
      <c r="D64" s="17">
        <v>0</v>
      </c>
      <c r="E64" s="101">
        <f t="shared" si="3"/>
        <v>0</v>
      </c>
      <c r="F64" s="101">
        <f t="shared" si="3"/>
        <v>0</v>
      </c>
      <c r="G64" s="101">
        <f t="shared" si="3"/>
        <v>0</v>
      </c>
    </row>
    <row r="65" spans="1:9" ht="13">
      <c r="A65" t="s">
        <v>443</v>
      </c>
      <c r="C65" s="13" t="s">
        <v>57</v>
      </c>
      <c r="D65" s="17">
        <v>1</v>
      </c>
      <c r="E65" s="101">
        <f t="shared" si="3"/>
        <v>1</v>
      </c>
      <c r="F65" s="101">
        <f t="shared" si="3"/>
        <v>1</v>
      </c>
      <c r="G65" s="101">
        <f t="shared" si="3"/>
        <v>1</v>
      </c>
      <c r="I65" s="102"/>
    </row>
    <row r="66" spans="1:9">
      <c r="A66" t="s">
        <v>442</v>
      </c>
      <c r="B66" t="s">
        <v>441</v>
      </c>
      <c r="C66" t="s">
        <v>404</v>
      </c>
      <c r="G66" s="1">
        <f>(G63*G10*G27+G64*G12*G28)/1000</f>
        <v>0.70802399999999999</v>
      </c>
    </row>
    <row r="67" spans="1:9">
      <c r="A67" t="s">
        <v>440</v>
      </c>
      <c r="B67" t="s">
        <v>196</v>
      </c>
      <c r="C67" t="s">
        <v>438</v>
      </c>
      <c r="D67" s="1">
        <f>(D63*D16+D64*D18+D65*D24)*D29*D31/1000</f>
        <v>0.22642984843624853</v>
      </c>
      <c r="E67" s="1">
        <f>(E63*E16+E64*E18+E65*E24)*E29*E31/1000</f>
        <v>0.2019199349240417</v>
      </c>
      <c r="F67" s="1">
        <f>(F63*F16+F64*F18+F65*F24)*F29*F31/1000</f>
        <v>0.13461328994936114</v>
      </c>
      <c r="G67" s="1">
        <f>(G63*G16+G64*G18+G65*G24)*G29*G31/1000</f>
        <v>6.7306644974680571E-2</v>
      </c>
    </row>
    <row r="68" spans="1:9">
      <c r="A68" s="102" t="s">
        <v>439</v>
      </c>
      <c r="C68" t="s">
        <v>438</v>
      </c>
      <c r="D68" s="1">
        <f>D67</f>
        <v>0.22642984843624853</v>
      </c>
      <c r="E68" s="1">
        <f>D68+E67</f>
        <v>0.42834978336029023</v>
      </c>
      <c r="F68" s="1">
        <f>E68+F67</f>
        <v>0.56296307330965134</v>
      </c>
      <c r="G68" s="1">
        <f>F68+G67</f>
        <v>0.63026971828433187</v>
      </c>
    </row>
    <row r="69" spans="1:9" ht="13">
      <c r="A69" s="107" t="s">
        <v>437</v>
      </c>
      <c r="D69" s="1"/>
      <c r="E69" s="1"/>
      <c r="F69" s="1"/>
      <c r="G69" s="1"/>
    </row>
    <row r="70" spans="1:9">
      <c r="A70" s="102" t="s">
        <v>436</v>
      </c>
      <c r="B70" t="s">
        <v>435</v>
      </c>
      <c r="C70" t="s">
        <v>12</v>
      </c>
      <c r="D70" s="1"/>
      <c r="E70" s="1"/>
      <c r="F70" s="1"/>
      <c r="G70" s="1">
        <f>G68/G66</f>
        <v>0.89018129086631514</v>
      </c>
    </row>
    <row r="71" spans="1:9">
      <c r="A71" s="102" t="s">
        <v>434</v>
      </c>
      <c r="B71" s="102" t="s">
        <v>433</v>
      </c>
      <c r="C71" s="13" t="s">
        <v>57</v>
      </c>
      <c r="D71" s="1"/>
      <c r="E71" s="1"/>
      <c r="F71" s="1"/>
      <c r="G71" s="1"/>
    </row>
    <row r="72" spans="1:9">
      <c r="A72" s="102" t="s">
        <v>432</v>
      </c>
      <c r="B72" s="102" t="s">
        <v>431</v>
      </c>
      <c r="C72" t="s">
        <v>12</v>
      </c>
      <c r="D72" s="1"/>
      <c r="E72" s="1"/>
      <c r="F72" s="1"/>
      <c r="G72" s="1">
        <f>MIN(1.5*(G43-2*G70),G43)</f>
        <v>4.979456127401054</v>
      </c>
      <c r="I72" t="s">
        <v>430</v>
      </c>
    </row>
    <row r="73" spans="1:9">
      <c r="A73" s="102" t="s">
        <v>429</v>
      </c>
      <c r="C73" t="s">
        <v>428</v>
      </c>
      <c r="D73" s="1"/>
      <c r="E73" s="1"/>
      <c r="F73" s="1"/>
      <c r="G73" s="1">
        <f>G72*G42</f>
        <v>1.195069470576253</v>
      </c>
    </row>
    <row r="74" spans="1:9" ht="13">
      <c r="A74" s="107" t="s">
        <v>427</v>
      </c>
      <c r="D74" s="1"/>
      <c r="E74" s="1"/>
      <c r="F74" s="1"/>
      <c r="G74" s="1"/>
    </row>
    <row r="75" spans="1:9">
      <c r="A75" s="102" t="s">
        <v>426</v>
      </c>
      <c r="B75" s="102" t="s">
        <v>213</v>
      </c>
      <c r="C75" s="102" t="s">
        <v>150</v>
      </c>
      <c r="G75" s="1">
        <f>2*G66/G73</f>
        <v>1.1849085219432414</v>
      </c>
      <c r="I75" t="s">
        <v>425</v>
      </c>
    </row>
    <row r="76" spans="1:9">
      <c r="A76" s="102" t="s">
        <v>424</v>
      </c>
      <c r="C76" s="102" t="s">
        <v>150</v>
      </c>
      <c r="G76" s="1">
        <f>'Genaues Verfahren S6'!G38</f>
        <v>7.2441059203893978</v>
      </c>
      <c r="I76" t="s">
        <v>423</v>
      </c>
    </row>
    <row r="77" spans="1:9">
      <c r="A77" s="102" t="s">
        <v>253</v>
      </c>
      <c r="B77" t="s">
        <v>422</v>
      </c>
      <c r="C77" s="102" t="s">
        <v>150</v>
      </c>
      <c r="G77" s="14">
        <f>1000*G76</f>
        <v>7244.1059203893974</v>
      </c>
      <c r="I77" s="102" t="s">
        <v>421</v>
      </c>
    </row>
    <row r="78" spans="1:9">
      <c r="A78" s="102" t="s">
        <v>420</v>
      </c>
      <c r="G78">
        <f>G75/G77</f>
        <v>1.6356863565566808E-4</v>
      </c>
      <c r="I78" t="s">
        <v>419</v>
      </c>
    </row>
    <row r="79" spans="1:9">
      <c r="A79" s="102" t="s">
        <v>418</v>
      </c>
      <c r="G79">
        <f>G78*(G43-G72)/G72</f>
        <v>3.9597089065932334E-6</v>
      </c>
      <c r="I79" s="102" t="s">
        <v>417</v>
      </c>
    </row>
    <row r="80" spans="1:9">
      <c r="A80" s="102" t="s">
        <v>416</v>
      </c>
      <c r="C80" t="s">
        <v>415</v>
      </c>
      <c r="G80">
        <f>G79*G30*1000</f>
        <v>1.2671068501098347E-2</v>
      </c>
    </row>
    <row r="81" spans="1:8">
      <c r="A81" s="102" t="s">
        <v>133</v>
      </c>
      <c r="B81" s="44" t="s">
        <v>51</v>
      </c>
      <c r="G81">
        <f>G79/0.0004</f>
        <v>9.8992722664830828E-3</v>
      </c>
      <c r="H81" t="s">
        <v>378</v>
      </c>
    </row>
    <row r="84" spans="1:8" ht="13">
      <c r="A84" s="65" t="s">
        <v>414</v>
      </c>
    </row>
  </sheetData>
  <pageMargins left="0.78740157499999996" right="0.46" top="0.72" bottom="0.62" header="0.4921259845" footer="0.4921259845"/>
  <pageSetup paperSize="9" orientation="portrait" r:id="rId1"/>
  <headerFooter alignWithMargins="0">
    <oddHeader>&amp;CMW 7.12.2017: Beispiel Aussteifung mit stat. best. Wandscheiben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"/>
  <sheetViews>
    <sheetView zoomScale="115" zoomScaleNormal="115" workbookViewId="0">
      <selection activeCell="F41" sqref="F41"/>
    </sheetView>
  </sheetViews>
  <sheetFormatPr baseColWidth="10" defaultRowHeight="12.5"/>
  <cols>
    <col min="1" max="1" width="36.26953125" customWidth="1"/>
    <col min="2" max="2" width="8" customWidth="1"/>
    <col min="3" max="3" width="9" customWidth="1"/>
    <col min="4" max="4" width="9.26953125" customWidth="1"/>
    <col min="5" max="5" width="2.453125" customWidth="1"/>
    <col min="6" max="6" width="21.54296875" customWidth="1"/>
  </cols>
  <sheetData>
    <row r="1" spans="1:6">
      <c r="A1" t="s">
        <v>503</v>
      </c>
    </row>
    <row r="2" spans="1:6">
      <c r="A2" t="s">
        <v>74</v>
      </c>
    </row>
    <row r="3" spans="1:6">
      <c r="A3" t="s">
        <v>76</v>
      </c>
    </row>
    <row r="4" spans="1:6" ht="13">
      <c r="A4" s="102" t="s">
        <v>536</v>
      </c>
      <c r="B4" s="11"/>
    </row>
    <row r="5" spans="1:6" s="6" customFormat="1" ht="13">
      <c r="A5" s="15" t="s">
        <v>535</v>
      </c>
      <c r="B5" s="15"/>
    </row>
    <row r="6" spans="1:6" ht="13">
      <c r="A6" t="s">
        <v>534</v>
      </c>
      <c r="C6" t="s">
        <v>7</v>
      </c>
      <c r="D6" s="21">
        <v>15</v>
      </c>
      <c r="E6" s="114"/>
      <c r="F6" t="s">
        <v>485</v>
      </c>
    </row>
    <row r="7" spans="1:6" ht="13">
      <c r="A7" t="s">
        <v>20</v>
      </c>
      <c r="C7" s="13" t="s">
        <v>57</v>
      </c>
      <c r="D7" s="17">
        <v>1.35</v>
      </c>
      <c r="E7" s="4"/>
    </row>
    <row r="8" spans="1:6" ht="13">
      <c r="A8" t="s">
        <v>533</v>
      </c>
      <c r="C8" t="s">
        <v>7</v>
      </c>
      <c r="D8" s="21">
        <v>12.3</v>
      </c>
      <c r="E8" s="114"/>
      <c r="F8" t="s">
        <v>485</v>
      </c>
    </row>
    <row r="9" spans="1:6" ht="13">
      <c r="A9" t="s">
        <v>20</v>
      </c>
      <c r="C9" s="13" t="s">
        <v>57</v>
      </c>
      <c r="D9" s="17">
        <v>1.5</v>
      </c>
      <c r="E9" s="4"/>
    </row>
    <row r="10" spans="1:6" ht="13">
      <c r="A10" t="s">
        <v>532</v>
      </c>
      <c r="B10" s="102" t="s">
        <v>531</v>
      </c>
      <c r="C10" t="s">
        <v>7</v>
      </c>
      <c r="D10" s="76">
        <f>D6*D7+D8*D9</f>
        <v>38.700000000000003</v>
      </c>
      <c r="E10" s="101"/>
    </row>
    <row r="11" spans="1:6">
      <c r="B11" s="102"/>
      <c r="D11" s="101"/>
      <c r="E11" s="101"/>
    </row>
    <row r="12" spans="1:6" s="6" customFormat="1" ht="13">
      <c r="A12" s="15" t="s">
        <v>530</v>
      </c>
      <c r="B12" s="113"/>
      <c r="D12" s="112"/>
      <c r="E12" s="112"/>
    </row>
    <row r="13" spans="1:6" ht="13">
      <c r="A13" t="s">
        <v>11</v>
      </c>
      <c r="B13" t="s">
        <v>80</v>
      </c>
      <c r="C13" t="s">
        <v>12</v>
      </c>
      <c r="D13" s="16">
        <v>0.24</v>
      </c>
      <c r="E13" s="11"/>
    </row>
    <row r="14" spans="1:6">
      <c r="A14" t="s">
        <v>529</v>
      </c>
    </row>
    <row r="15" spans="1:6" ht="13">
      <c r="A15" t="s">
        <v>6</v>
      </c>
      <c r="B15" t="s">
        <v>528</v>
      </c>
      <c r="C15" t="s">
        <v>12</v>
      </c>
      <c r="D15" s="17">
        <v>0.19</v>
      </c>
      <c r="E15" s="4"/>
    </row>
    <row r="16" spans="1:6" ht="13">
      <c r="A16" t="s">
        <v>321</v>
      </c>
      <c r="B16" t="s">
        <v>49</v>
      </c>
      <c r="C16" t="s">
        <v>12</v>
      </c>
      <c r="D16" s="17">
        <v>0.11</v>
      </c>
      <c r="E16" s="4"/>
    </row>
    <row r="17" spans="1:7" ht="13">
      <c r="A17" t="s">
        <v>436</v>
      </c>
      <c r="B17" t="s">
        <v>435</v>
      </c>
      <c r="C17" t="s">
        <v>12</v>
      </c>
      <c r="D17" s="17">
        <f>0.12-0.015-0.055</f>
        <v>4.9999999999999996E-2</v>
      </c>
      <c r="E17" s="4"/>
      <c r="F17" t="s">
        <v>527</v>
      </c>
      <c r="G17" s="63" t="s">
        <v>526</v>
      </c>
    </row>
    <row r="18" spans="1:7" ht="13">
      <c r="A18" t="s">
        <v>525</v>
      </c>
      <c r="B18" t="s">
        <v>524</v>
      </c>
      <c r="C18" t="s">
        <v>12</v>
      </c>
      <c r="D18" s="17">
        <f>0.275+0.24</f>
        <v>0.51500000000000001</v>
      </c>
      <c r="E18" s="4"/>
      <c r="F18" s="111" t="s">
        <v>523</v>
      </c>
    </row>
    <row r="19" spans="1:7">
      <c r="A19" t="s">
        <v>522</v>
      </c>
      <c r="B19" t="s">
        <v>521</v>
      </c>
      <c r="C19" s="102" t="s">
        <v>131</v>
      </c>
      <c r="D19" s="1">
        <f>D15*D16</f>
        <v>2.0900000000000002E-2</v>
      </c>
      <c r="E19" s="1"/>
    </row>
    <row r="20" spans="1:7" ht="13">
      <c r="A20" t="s">
        <v>520</v>
      </c>
      <c r="B20" t="s">
        <v>519</v>
      </c>
      <c r="C20" t="s">
        <v>12</v>
      </c>
      <c r="D20" s="17">
        <v>1.88</v>
      </c>
      <c r="E20" s="1"/>
    </row>
    <row r="21" spans="1:7" ht="13">
      <c r="A21" s="102" t="s">
        <v>10</v>
      </c>
      <c r="B21" s="102" t="s">
        <v>51</v>
      </c>
      <c r="C21" t="s">
        <v>12</v>
      </c>
      <c r="D21" s="17">
        <v>2.75</v>
      </c>
      <c r="E21" s="1"/>
    </row>
    <row r="22" spans="1:7">
      <c r="A22" s="102"/>
      <c r="B22" s="55" t="s">
        <v>518</v>
      </c>
      <c r="C22" t="s">
        <v>12</v>
      </c>
      <c r="D22" s="1">
        <f>D20-D21/2</f>
        <v>0.50499999999999989</v>
      </c>
      <c r="E22" s="1"/>
    </row>
    <row r="23" spans="1:7" ht="13">
      <c r="D23" s="17"/>
      <c r="E23" s="1"/>
    </row>
    <row r="24" spans="1:7">
      <c r="A24" s="102" t="s">
        <v>517</v>
      </c>
      <c r="B24" s="102" t="s">
        <v>516</v>
      </c>
      <c r="C24" s="102" t="s">
        <v>12</v>
      </c>
      <c r="D24" s="1">
        <f>1/TAN(60*PI()/180)*D22+D15+MIN(D18,1/TAN(60*PI()/180)*D22)</f>
        <v>0.77312377188152204</v>
      </c>
      <c r="E24" s="1"/>
    </row>
    <row r="25" spans="1:7">
      <c r="A25" s="102" t="s">
        <v>515</v>
      </c>
      <c r="B25" s="102" t="s">
        <v>514</v>
      </c>
      <c r="C25" s="102" t="s">
        <v>131</v>
      </c>
      <c r="D25" s="1">
        <f>D24*D13</f>
        <v>0.18554970525156528</v>
      </c>
      <c r="E25" s="1"/>
    </row>
    <row r="26" spans="1:7">
      <c r="D26" s="1"/>
      <c r="E26" s="1"/>
    </row>
    <row r="27" spans="1:7" s="6" customFormat="1" ht="13">
      <c r="A27" s="15" t="s">
        <v>513</v>
      </c>
      <c r="D27" s="7"/>
      <c r="E27" s="7"/>
    </row>
    <row r="28" spans="1:7">
      <c r="A28" s="102" t="s">
        <v>512</v>
      </c>
      <c r="B28" s="102"/>
      <c r="C28" s="109" t="s">
        <v>57</v>
      </c>
      <c r="D28" s="1">
        <f>MIN(0.45,D19/D25)</f>
        <v>0.1126382818644962</v>
      </c>
      <c r="E28" s="1"/>
    </row>
    <row r="29" spans="1:7">
      <c r="A29" s="102" t="s">
        <v>511</v>
      </c>
      <c r="C29" s="109" t="s">
        <v>57</v>
      </c>
      <c r="D29" s="1">
        <f>D18/D20</f>
        <v>0.27393617021276601</v>
      </c>
      <c r="E29" s="1"/>
    </row>
    <row r="30" spans="1:7">
      <c r="A30" s="102" t="s">
        <v>510</v>
      </c>
      <c r="B30" s="102" t="s">
        <v>264</v>
      </c>
      <c r="C30" s="109" t="s">
        <v>57</v>
      </c>
      <c r="D30" s="1">
        <f>MIN(1.5,1.25+D29/2,(1+0.3*D29)*(1.5-1.1*D28))</f>
        <v>1.386968085106383</v>
      </c>
      <c r="E30" s="1"/>
      <c r="F30" s="102" t="s">
        <v>509</v>
      </c>
    </row>
    <row r="31" spans="1:7">
      <c r="A31" s="102" t="s">
        <v>508</v>
      </c>
      <c r="B31" s="102" t="s">
        <v>264</v>
      </c>
      <c r="C31" s="109" t="s">
        <v>57</v>
      </c>
      <c r="D31" s="1">
        <f>MIN(1.5,1+0.1*D18/D15)</f>
        <v>1.2710526315789474</v>
      </c>
      <c r="E31" s="1"/>
      <c r="F31" s="102" t="s">
        <v>507</v>
      </c>
    </row>
    <row r="32" spans="1:7">
      <c r="A32" s="102" t="s">
        <v>506</v>
      </c>
      <c r="B32" s="102" t="s">
        <v>63</v>
      </c>
      <c r="C32" s="109"/>
      <c r="D32" s="1">
        <f>'Genaues Verfahren S6'!G69</f>
        <v>4.1049933548873252</v>
      </c>
      <c r="E32" s="1"/>
      <c r="F32" s="102" t="s">
        <v>91</v>
      </c>
    </row>
    <row r="33" spans="1:5" ht="13">
      <c r="A33" s="102" t="s">
        <v>41</v>
      </c>
      <c r="B33" s="102" t="s">
        <v>505</v>
      </c>
      <c r="C33" s="109" t="s">
        <v>7</v>
      </c>
      <c r="D33" s="76">
        <f>D32*D31*D19*1000</f>
        <v>109.04914847258181</v>
      </c>
      <c r="E33" s="1"/>
    </row>
    <row r="34" spans="1:5" ht="13">
      <c r="A34" s="102"/>
      <c r="B34" s="102"/>
      <c r="C34" s="109"/>
      <c r="D34" s="76"/>
      <c r="E34" s="1"/>
    </row>
    <row r="35" spans="1:5" ht="13">
      <c r="A35" s="102"/>
      <c r="B35" s="102"/>
      <c r="C35" s="109"/>
      <c r="D35" s="76"/>
      <c r="E35" s="1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2"/>
  <sheetViews>
    <sheetView zoomScaleNormal="100" workbookViewId="0">
      <selection activeCell="F53" sqref="F53"/>
    </sheetView>
  </sheetViews>
  <sheetFormatPr baseColWidth="10" defaultRowHeight="12.5"/>
  <cols>
    <col min="1" max="1" width="31" customWidth="1"/>
    <col min="2" max="2" width="9.54296875" customWidth="1"/>
    <col min="3" max="3" width="7.54296875" customWidth="1"/>
    <col min="4" max="4" width="9" customWidth="1"/>
    <col min="5" max="5" width="2.453125" customWidth="1"/>
    <col min="6" max="6" width="30.1796875" customWidth="1"/>
  </cols>
  <sheetData>
    <row r="1" spans="1:6" ht="13">
      <c r="A1" s="11" t="s">
        <v>602</v>
      </c>
    </row>
    <row r="2" spans="1:6" ht="13">
      <c r="A2" s="11"/>
    </row>
    <row r="3" spans="1:6" ht="13">
      <c r="A3" s="11" t="s">
        <v>601</v>
      </c>
    </row>
    <row r="4" spans="1:6">
      <c r="A4" t="s">
        <v>600</v>
      </c>
      <c r="C4" t="s">
        <v>132</v>
      </c>
      <c r="D4" s="117">
        <f>('Vereinfachtes Verfahren S6'!G18+'Vereinfachtes Verfahren S6'!G20)*'Vereinfachtes Verfahren S6'!G27</f>
        <v>7.1550000000000002</v>
      </c>
      <c r="F4" t="s">
        <v>249</v>
      </c>
    </row>
    <row r="5" spans="1:6">
      <c r="A5" t="s">
        <v>599</v>
      </c>
      <c r="C5" t="s">
        <v>8</v>
      </c>
      <c r="D5" s="106">
        <f>'Genaues Verfahren S6'!G26</f>
        <v>173.42415</v>
      </c>
      <c r="F5" t="s">
        <v>249</v>
      </c>
    </row>
    <row r="6" spans="1:6">
      <c r="A6" t="s">
        <v>11</v>
      </c>
      <c r="B6" t="s">
        <v>48</v>
      </c>
      <c r="C6" t="s">
        <v>12</v>
      </c>
      <c r="D6" s="75">
        <f>'Vereinfachtes Verfahren S6'!G6</f>
        <v>0.24</v>
      </c>
      <c r="F6" t="s">
        <v>249</v>
      </c>
    </row>
    <row r="7" spans="1:6">
      <c r="A7" t="s">
        <v>10</v>
      </c>
      <c r="C7" t="s">
        <v>12</v>
      </c>
      <c r="D7" s="19">
        <f>'Vereinfachtes Verfahren S6'!G16</f>
        <v>2.6749999999999998</v>
      </c>
      <c r="F7" t="s">
        <v>249</v>
      </c>
    </row>
    <row r="8" spans="1:6" ht="13">
      <c r="A8" t="s">
        <v>598</v>
      </c>
      <c r="B8" t="s">
        <v>226</v>
      </c>
      <c r="C8" t="s">
        <v>12</v>
      </c>
      <c r="D8" s="16">
        <v>1.01</v>
      </c>
      <c r="F8" t="s">
        <v>590</v>
      </c>
    </row>
    <row r="9" spans="1:6" ht="13">
      <c r="A9" t="s">
        <v>597</v>
      </c>
      <c r="B9" t="s">
        <v>596</v>
      </c>
      <c r="C9" t="s">
        <v>57</v>
      </c>
      <c r="D9" s="17">
        <v>0.2</v>
      </c>
      <c r="F9" t="s">
        <v>595</v>
      </c>
    </row>
    <row r="10" spans="1:6" ht="13">
      <c r="A10" t="s">
        <v>594</v>
      </c>
      <c r="B10" t="s">
        <v>51</v>
      </c>
      <c r="C10" t="s">
        <v>12</v>
      </c>
      <c r="D10" s="16">
        <v>0.24</v>
      </c>
      <c r="F10" t="s">
        <v>593</v>
      </c>
    </row>
    <row r="11" spans="1:6" ht="13">
      <c r="A11" t="s">
        <v>592</v>
      </c>
      <c r="B11" t="s">
        <v>591</v>
      </c>
      <c r="C11" t="s">
        <v>12</v>
      </c>
      <c r="D11" s="16">
        <v>1.74</v>
      </c>
      <c r="F11" t="s">
        <v>590</v>
      </c>
    </row>
    <row r="12" spans="1:6" ht="13">
      <c r="A12" t="s">
        <v>589</v>
      </c>
      <c r="B12" t="s">
        <v>588</v>
      </c>
      <c r="C12" t="s">
        <v>12</v>
      </c>
      <c r="D12" s="16">
        <v>2.0099999999999998</v>
      </c>
      <c r="F12" t="s">
        <v>587</v>
      </c>
    </row>
    <row r="13" spans="1:6" s="6" customFormat="1" ht="13">
      <c r="A13" s="15" t="s">
        <v>586</v>
      </c>
    </row>
    <row r="14" spans="1:6">
      <c r="A14" t="s">
        <v>585</v>
      </c>
      <c r="C14" t="s">
        <v>7</v>
      </c>
      <c r="D14" s="14">
        <f>D8*D5/2</f>
        <v>87.579195749999997</v>
      </c>
      <c r="F14" t="s">
        <v>584</v>
      </c>
    </row>
    <row r="15" spans="1:6">
      <c r="A15" t="s">
        <v>583</v>
      </c>
      <c r="C15" t="s">
        <v>7</v>
      </c>
      <c r="D15" s="14">
        <f>D5*D8/D9/8</f>
        <v>109.4739946875</v>
      </c>
      <c r="F15" t="s">
        <v>582</v>
      </c>
    </row>
    <row r="16" spans="1:6">
      <c r="A16" t="s">
        <v>581</v>
      </c>
      <c r="C16" t="s">
        <v>7</v>
      </c>
      <c r="D16" s="70">
        <f>SQRT(D14*D14+D15*D15)</f>
        <v>140.19511775042523</v>
      </c>
      <c r="F16" t="s">
        <v>580</v>
      </c>
    </row>
    <row r="17" spans="1:9" ht="13">
      <c r="A17" s="11" t="s">
        <v>579</v>
      </c>
    </row>
    <row r="18" spans="1:9">
      <c r="A18" t="s">
        <v>578</v>
      </c>
      <c r="B18" t="s">
        <v>577</v>
      </c>
      <c r="C18" t="s">
        <v>7</v>
      </c>
      <c r="D18" s="14">
        <f>D4*D11*D7+D5*D11</f>
        <v>335.0609685</v>
      </c>
    </row>
    <row r="19" spans="1:9">
      <c r="A19" t="s">
        <v>576</v>
      </c>
      <c r="B19" t="s">
        <v>575</v>
      </c>
      <c r="C19" t="s">
        <v>7</v>
      </c>
      <c r="D19" s="14">
        <f>D14</f>
        <v>87.579195749999997</v>
      </c>
    </row>
    <row r="20" spans="1:9">
      <c r="A20" t="s">
        <v>574</v>
      </c>
      <c r="B20" t="s">
        <v>441</v>
      </c>
      <c r="C20" t="s">
        <v>7</v>
      </c>
      <c r="D20" s="14">
        <f>D19+D18</f>
        <v>422.64016425</v>
      </c>
    </row>
    <row r="21" spans="1:9">
      <c r="A21" t="s">
        <v>573</v>
      </c>
      <c r="B21" t="s">
        <v>196</v>
      </c>
      <c r="C21" t="s">
        <v>315</v>
      </c>
      <c r="D21" s="14">
        <f>ABS(D19*D11/2-D15*D12)</f>
        <v>143.84882901937496</v>
      </c>
    </row>
    <row r="22" spans="1:9">
      <c r="A22" t="s">
        <v>572</v>
      </c>
      <c r="B22" t="s">
        <v>192</v>
      </c>
      <c r="C22" t="s">
        <v>7</v>
      </c>
      <c r="D22" s="70">
        <f>D15</f>
        <v>109.4739946875</v>
      </c>
    </row>
    <row r="23" spans="1:9" ht="13">
      <c r="A23" s="15" t="s">
        <v>571</v>
      </c>
      <c r="B23" s="6"/>
      <c r="C23" s="6"/>
      <c r="D23" s="6"/>
      <c r="E23" s="6"/>
      <c r="F23" s="6"/>
      <c r="G23" s="6"/>
      <c r="H23" s="6"/>
    </row>
    <row r="24" spans="1:9">
      <c r="A24" t="s">
        <v>20</v>
      </c>
      <c r="D24" s="19">
        <f>'Vereinfachtes Verfahren S6'!G39</f>
        <v>1.5</v>
      </c>
      <c r="F24" t="s">
        <v>249</v>
      </c>
    </row>
    <row r="25" spans="1:9">
      <c r="A25" t="s">
        <v>570</v>
      </c>
      <c r="B25" t="s">
        <v>63</v>
      </c>
      <c r="C25" t="s">
        <v>150</v>
      </c>
      <c r="D25" s="9">
        <f>'Genaues Verfahren S6'!G69</f>
        <v>4.1049933548873252</v>
      </c>
      <c r="G25" s="63" t="s">
        <v>569</v>
      </c>
    </row>
    <row r="26" spans="1:9" ht="13">
      <c r="A26" s="107" t="s">
        <v>568</v>
      </c>
      <c r="B26" t="s">
        <v>567</v>
      </c>
      <c r="C26" t="s">
        <v>7</v>
      </c>
      <c r="D26" s="70">
        <f>D25*D6*D10*1000</f>
        <v>236.4476172415099</v>
      </c>
      <c r="F26" t="s">
        <v>566</v>
      </c>
      <c r="G26" s="63" t="s">
        <v>565</v>
      </c>
    </row>
    <row r="27" spans="1:9">
      <c r="A27" s="102" t="s">
        <v>133</v>
      </c>
      <c r="B27" s="44" t="s">
        <v>51</v>
      </c>
      <c r="D27" s="1">
        <f>D16/D26</f>
        <v>0.59292252290801717</v>
      </c>
      <c r="E27" t="s">
        <v>378</v>
      </c>
    </row>
    <row r="28" spans="1:9" ht="13">
      <c r="A28" s="15" t="s">
        <v>564</v>
      </c>
      <c r="B28" s="6"/>
      <c r="C28" s="6"/>
      <c r="D28" s="6"/>
      <c r="E28" s="6"/>
      <c r="F28" s="6"/>
      <c r="G28" s="6"/>
      <c r="H28" s="6"/>
      <c r="I28" s="6"/>
    </row>
    <row r="29" spans="1:9">
      <c r="A29" t="s">
        <v>436</v>
      </c>
      <c r="B29" t="s">
        <v>435</v>
      </c>
      <c r="C29" t="s">
        <v>12</v>
      </c>
      <c r="D29" s="1">
        <f>D21/D20</f>
        <v>0.34035768766710384</v>
      </c>
      <c r="F29" t="s">
        <v>475</v>
      </c>
    </row>
    <row r="30" spans="1:9">
      <c r="A30" t="s">
        <v>472</v>
      </c>
      <c r="B30" t="s">
        <v>471</v>
      </c>
      <c r="C30" t="s">
        <v>12</v>
      </c>
      <c r="D30" s="101">
        <f>MIN(D11,1.5*(D11-2*D29))</f>
        <v>1.5889269369986885</v>
      </c>
      <c r="F30" s="102" t="s">
        <v>563</v>
      </c>
    </row>
    <row r="31" spans="1:9">
      <c r="A31" t="s">
        <v>467</v>
      </c>
      <c r="B31" t="s">
        <v>187</v>
      </c>
      <c r="C31" t="s">
        <v>131</v>
      </c>
      <c r="D31" s="101">
        <f>D30*D6</f>
        <v>0.38134246487968521</v>
      </c>
      <c r="F31" t="s">
        <v>466</v>
      </c>
    </row>
    <row r="32" spans="1:9">
      <c r="A32" t="s">
        <v>222</v>
      </c>
      <c r="B32" t="s">
        <v>465</v>
      </c>
      <c r="C32" t="s">
        <v>150</v>
      </c>
      <c r="D32" s="1">
        <f>D20/D31/1000</f>
        <v>1.1082955693993963</v>
      </c>
      <c r="F32" t="s">
        <v>464</v>
      </c>
    </row>
    <row r="33" spans="1:6" ht="13">
      <c r="A33" t="s">
        <v>463</v>
      </c>
      <c r="B33" t="s">
        <v>218</v>
      </c>
      <c r="D33" s="17">
        <v>1</v>
      </c>
      <c r="F33" t="s">
        <v>562</v>
      </c>
    </row>
    <row r="34" spans="1:6" ht="13">
      <c r="A34" s="11" t="s">
        <v>561</v>
      </c>
    </row>
    <row r="35" spans="1:6">
      <c r="A35" t="s">
        <v>232</v>
      </c>
      <c r="B35" t="s">
        <v>233</v>
      </c>
      <c r="C35" t="s">
        <v>150</v>
      </c>
      <c r="D35" s="19">
        <f>'Genaues Verfahren S6'!G33</f>
        <v>25</v>
      </c>
      <c r="E35" s="1"/>
      <c r="F35" s="101" t="s">
        <v>258</v>
      </c>
    </row>
    <row r="36" spans="1:6" ht="13">
      <c r="A36" t="s">
        <v>235</v>
      </c>
      <c r="B36" t="s">
        <v>236</v>
      </c>
      <c r="C36" t="s">
        <v>150</v>
      </c>
      <c r="D36" s="1">
        <f>D35*0.032</f>
        <v>0.8</v>
      </c>
      <c r="E36" s="1"/>
      <c r="F36" s="101" t="s">
        <v>560</v>
      </c>
    </row>
    <row r="37" spans="1:6" ht="13">
      <c r="A37" t="s">
        <v>200</v>
      </c>
      <c r="B37" t="s">
        <v>201</v>
      </c>
      <c r="C37" t="s">
        <v>150</v>
      </c>
      <c r="D37" s="16">
        <v>0.08</v>
      </c>
      <c r="E37" s="11"/>
      <c r="F37" s="101" t="s">
        <v>202</v>
      </c>
    </row>
    <row r="38" spans="1:6">
      <c r="A38" s="102" t="s">
        <v>460</v>
      </c>
      <c r="B38" s="102" t="s">
        <v>459</v>
      </c>
      <c r="C38" t="s">
        <v>150</v>
      </c>
      <c r="D38" s="1">
        <f>D37+0.4*D32</f>
        <v>0.52331822775975856</v>
      </c>
      <c r="E38" s="1"/>
      <c r="F38" s="101"/>
    </row>
    <row r="39" spans="1:6">
      <c r="A39" s="102" t="s">
        <v>457</v>
      </c>
      <c r="B39" s="102" t="s">
        <v>456</v>
      </c>
      <c r="C39" t="s">
        <v>150</v>
      </c>
      <c r="D39" s="1">
        <f>0.45*D36*SQRT(1+D32/D36)</f>
        <v>0.5560070883025704</v>
      </c>
      <c r="E39" s="1"/>
      <c r="F39" s="101"/>
    </row>
    <row r="40" spans="1:6">
      <c r="A40" s="102" t="s">
        <v>454</v>
      </c>
      <c r="B40" s="102" t="s">
        <v>453</v>
      </c>
      <c r="C40" t="s">
        <v>150</v>
      </c>
      <c r="D40" s="1">
        <f>MIN(D38,D39)</f>
        <v>0.52331822775975856</v>
      </c>
      <c r="E40" s="1"/>
      <c r="F40" s="101" t="s">
        <v>559</v>
      </c>
    </row>
    <row r="41" spans="1:6" ht="13">
      <c r="A41" s="102" t="s">
        <v>451</v>
      </c>
      <c r="B41" s="102" t="s">
        <v>450</v>
      </c>
      <c r="D41" s="17">
        <v>1.5</v>
      </c>
      <c r="E41" s="1"/>
      <c r="F41" s="101" t="s">
        <v>449</v>
      </c>
    </row>
    <row r="42" spans="1:6" ht="13">
      <c r="A42" s="107" t="s">
        <v>558</v>
      </c>
      <c r="B42" s="102" t="s">
        <v>448</v>
      </c>
      <c r="C42" t="s">
        <v>7</v>
      </c>
      <c r="D42" s="70">
        <f>D6*D30*D40/(D41*D33)*1000</f>
        <v>133.04230859358321</v>
      </c>
      <c r="E42" s="1"/>
      <c r="F42" s="101"/>
    </row>
    <row r="43" spans="1:6">
      <c r="A43" s="102" t="s">
        <v>133</v>
      </c>
      <c r="B43" s="44" t="s">
        <v>51</v>
      </c>
      <c r="D43" s="1">
        <f>D15/D42</f>
        <v>0.82285098510971011</v>
      </c>
      <c r="E43" t="s">
        <v>378</v>
      </c>
    </row>
    <row r="44" spans="1:6" s="6" customFormat="1" ht="13">
      <c r="A44" s="15" t="s">
        <v>557</v>
      </c>
      <c r="D44" s="116"/>
    </row>
    <row r="45" spans="1:6">
      <c r="A45" s="102" t="s">
        <v>556</v>
      </c>
      <c r="B45" s="102" t="s">
        <v>555</v>
      </c>
      <c r="C45" s="102" t="s">
        <v>12</v>
      </c>
      <c r="D45" s="1">
        <f>1.15*D8</f>
        <v>1.1615</v>
      </c>
      <c r="F45" s="102" t="s">
        <v>554</v>
      </c>
    </row>
    <row r="46" spans="1:6" ht="13">
      <c r="A46" s="102" t="s">
        <v>553</v>
      </c>
      <c r="B46" t="s">
        <v>51</v>
      </c>
      <c r="C46" t="s">
        <v>12</v>
      </c>
      <c r="D46" s="17">
        <v>1.56</v>
      </c>
    </row>
    <row r="47" spans="1:6">
      <c r="A47" s="102" t="s">
        <v>552</v>
      </c>
      <c r="B47" t="s">
        <v>196</v>
      </c>
      <c r="C47" t="s">
        <v>315</v>
      </c>
      <c r="D47" s="14">
        <f>D5*D45^2/8</f>
        <v>29.245430310792184</v>
      </c>
    </row>
    <row r="48" spans="1:6" ht="13">
      <c r="A48" s="102" t="s">
        <v>551</v>
      </c>
      <c r="B48" t="s">
        <v>93</v>
      </c>
      <c r="C48" t="s">
        <v>12</v>
      </c>
      <c r="D48" s="1">
        <f>MIN(0.7*D45,0.4*D46+0.2*D45)</f>
        <v>0.81304999999999994</v>
      </c>
      <c r="E48" s="11"/>
      <c r="F48" s="102" t="s">
        <v>550</v>
      </c>
    </row>
    <row r="49" spans="1:6">
      <c r="A49" s="102" t="s">
        <v>322</v>
      </c>
      <c r="B49" s="115" t="s">
        <v>48</v>
      </c>
      <c r="C49" t="s">
        <v>12</v>
      </c>
      <c r="D49" s="1">
        <f>1.3*D48</f>
        <v>1.0569649999999999</v>
      </c>
      <c r="F49" s="102" t="s">
        <v>549</v>
      </c>
    </row>
    <row r="50" spans="1:6">
      <c r="A50" s="102" t="s">
        <v>548</v>
      </c>
      <c r="B50" s="102" t="s">
        <v>547</v>
      </c>
      <c r="C50" t="s">
        <v>315</v>
      </c>
      <c r="D50" s="14">
        <f>0.4*D25*D6*D49^2*1000</f>
        <v>440.2556157431805</v>
      </c>
      <c r="F50" s="102" t="s">
        <v>546</v>
      </c>
    </row>
    <row r="51" spans="1:6">
      <c r="A51" s="102" t="s">
        <v>545</v>
      </c>
      <c r="B51" t="s">
        <v>544</v>
      </c>
      <c r="C51" t="s">
        <v>150</v>
      </c>
      <c r="D51" s="14">
        <v>435</v>
      </c>
    </row>
    <row r="52" spans="1:6">
      <c r="A52" s="102" t="s">
        <v>543</v>
      </c>
      <c r="B52" t="s">
        <v>542</v>
      </c>
      <c r="C52" t="s">
        <v>311</v>
      </c>
      <c r="D52" s="1">
        <f>D47/1000/D51/D48*10^4</f>
        <v>0.82689716841132999</v>
      </c>
      <c r="F52" s="102" t="s">
        <v>541</v>
      </c>
    </row>
    <row r="53" spans="1:6">
      <c r="A53" s="102" t="s">
        <v>540</v>
      </c>
      <c r="D53" s="1">
        <f>2*(8/10)^2*PI()/4</f>
        <v>1.0053096491487339</v>
      </c>
      <c r="F53" s="102" t="s">
        <v>539</v>
      </c>
    </row>
    <row r="54" spans="1:6">
      <c r="A54" s="102" t="s">
        <v>538</v>
      </c>
      <c r="D54" s="1"/>
    </row>
    <row r="55" spans="1:6">
      <c r="D55" s="1"/>
    </row>
    <row r="56" spans="1:6">
      <c r="A56" s="63" t="s">
        <v>537</v>
      </c>
      <c r="D56" s="1"/>
    </row>
    <row r="57" spans="1:6" ht="13">
      <c r="A57" s="107"/>
      <c r="D57" s="70"/>
    </row>
    <row r="58" spans="1:6" ht="13">
      <c r="A58" s="107"/>
      <c r="D58" s="14"/>
    </row>
    <row r="59" spans="1:6">
      <c r="D59" s="1"/>
      <c r="E59" s="1"/>
    </row>
    <row r="60" spans="1:6">
      <c r="D60" s="1"/>
    </row>
    <row r="61" spans="1:6">
      <c r="D61" s="1"/>
    </row>
    <row r="62" spans="1:6" ht="13">
      <c r="A62" s="107"/>
      <c r="D62" s="7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&amp;CMW 26.1.2016: MW-Bogen/Flachsturz über Fensteröffnung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F8"/>
  <sheetViews>
    <sheetView workbookViewId="0">
      <selection activeCell="F3" sqref="F3"/>
    </sheetView>
  </sheetViews>
  <sheetFormatPr baseColWidth="10" defaultRowHeight="12.5"/>
  <cols>
    <col min="1" max="1" width="11" bestFit="1" customWidth="1"/>
    <col min="2" max="2" width="2" bestFit="1" customWidth="1"/>
    <col min="3" max="3" width="6.1796875" bestFit="1" customWidth="1"/>
    <col min="4" max="6" width="16.54296875" style="41" customWidth="1"/>
  </cols>
  <sheetData>
    <row r="3" spans="1:6">
      <c r="A3" s="29"/>
      <c r="B3" s="6"/>
      <c r="C3" s="6"/>
      <c r="D3" s="33" t="s">
        <v>610</v>
      </c>
      <c r="E3" s="31" t="s">
        <v>609</v>
      </c>
      <c r="F3" s="32" t="s">
        <v>608</v>
      </c>
    </row>
    <row r="4" spans="1:6">
      <c r="A4" s="34"/>
      <c r="B4" s="35"/>
      <c r="C4" s="35"/>
      <c r="D4" s="48"/>
      <c r="E4" s="37"/>
      <c r="F4" s="49"/>
    </row>
    <row r="5" spans="1:6" ht="16.5">
      <c r="A5" s="29" t="s">
        <v>607</v>
      </c>
      <c r="B5" t="s">
        <v>606</v>
      </c>
      <c r="C5" s="2" t="s">
        <v>106</v>
      </c>
      <c r="D5" s="43">
        <v>0.1</v>
      </c>
      <c r="E5" s="41">
        <v>0.2</v>
      </c>
      <c r="F5" s="42">
        <v>0.2</v>
      </c>
    </row>
    <row r="6" spans="1:6">
      <c r="A6" s="34" t="s">
        <v>253</v>
      </c>
      <c r="B6" s="35" t="s">
        <v>422</v>
      </c>
      <c r="C6" s="121" t="s">
        <v>106</v>
      </c>
      <c r="D6" s="48">
        <v>1000</v>
      </c>
      <c r="E6" s="37">
        <v>1000</v>
      </c>
      <c r="F6" s="49">
        <v>550</v>
      </c>
    </row>
    <row r="7" spans="1:6" ht="14.5">
      <c r="A7" s="40" t="s">
        <v>605</v>
      </c>
      <c r="B7" s="126" t="s">
        <v>604</v>
      </c>
      <c r="C7" s="2"/>
      <c r="D7" s="125">
        <f>D5/D6</f>
        <v>1E-4</v>
      </c>
      <c r="E7" s="124">
        <f>E5/E6</f>
        <v>2.0000000000000001E-4</v>
      </c>
      <c r="F7" s="123">
        <f>F5/F6</f>
        <v>3.6363636363636367E-4</v>
      </c>
    </row>
    <row r="8" spans="1:6" ht="14.5">
      <c r="A8" s="34"/>
      <c r="B8" s="122" t="s">
        <v>604</v>
      </c>
      <c r="C8" s="121" t="s">
        <v>603</v>
      </c>
      <c r="D8" s="120">
        <f>D7*1000</f>
        <v>0.1</v>
      </c>
      <c r="E8" s="119">
        <f>E7*1000</f>
        <v>0.2</v>
      </c>
      <c r="F8" s="118">
        <f>F7*1000</f>
        <v>0.36363636363636365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2"/>
  <sheetViews>
    <sheetView zoomScale="130" zoomScaleNormal="130" workbookViewId="0">
      <selection activeCell="P18" sqref="P18"/>
    </sheetView>
  </sheetViews>
  <sheetFormatPr baseColWidth="10" defaultRowHeight="12.5"/>
  <cols>
    <col min="1" max="1" width="35" customWidth="1"/>
    <col min="2" max="2" width="4.26953125" customWidth="1"/>
    <col min="3" max="3" width="7.453125" customWidth="1"/>
    <col min="4" max="4" width="7.1796875" customWidth="1"/>
    <col min="5" max="5" width="7.7265625" style="1" customWidth="1"/>
    <col min="6" max="13" width="7.7265625" customWidth="1"/>
    <col min="14" max="14" width="6.81640625" customWidth="1"/>
  </cols>
  <sheetData>
    <row r="1" spans="1:15" ht="13">
      <c r="A1" s="11" t="s">
        <v>659</v>
      </c>
    </row>
    <row r="5" spans="1:15" ht="13">
      <c r="A5" t="s">
        <v>658</v>
      </c>
      <c r="B5" t="s">
        <v>657</v>
      </c>
      <c r="C5" t="s">
        <v>12</v>
      </c>
      <c r="D5" s="17">
        <v>23</v>
      </c>
      <c r="E5" s="129"/>
    </row>
    <row r="6" spans="1:15">
      <c r="A6" t="s">
        <v>656</v>
      </c>
      <c r="B6" t="s">
        <v>655</v>
      </c>
      <c r="C6" t="s">
        <v>12</v>
      </c>
      <c r="D6" s="101">
        <f>(LK+D11)/2</f>
        <v>10.5</v>
      </c>
      <c r="E6" s="131"/>
      <c r="F6" s="130"/>
      <c r="G6" s="130"/>
      <c r="H6" s="130"/>
      <c r="I6" s="130"/>
      <c r="J6" s="130"/>
      <c r="K6" s="130"/>
      <c r="L6" s="130"/>
      <c r="M6" s="130"/>
      <c r="N6" s="130"/>
      <c r="O6" t="s">
        <v>654</v>
      </c>
    </row>
    <row r="7" spans="1:15">
      <c r="A7" t="s">
        <v>653</v>
      </c>
      <c r="B7" t="s">
        <v>652</v>
      </c>
      <c r="C7" t="s">
        <v>57</v>
      </c>
      <c r="D7" s="101">
        <f>D6/D5</f>
        <v>0.45652173913043476</v>
      </c>
      <c r="E7" s="129"/>
    </row>
    <row r="8" spans="1:15" ht="13">
      <c r="A8" t="s">
        <v>651</v>
      </c>
      <c r="B8" t="s">
        <v>650</v>
      </c>
      <c r="C8" t="s">
        <v>57</v>
      </c>
      <c r="D8" s="16">
        <v>8</v>
      </c>
      <c r="E8" s="129"/>
    </row>
    <row r="9" spans="1:15" ht="13">
      <c r="A9" t="s">
        <v>649</v>
      </c>
      <c r="B9" t="s">
        <v>49</v>
      </c>
      <c r="C9" t="s">
        <v>12</v>
      </c>
      <c r="D9" s="17">
        <v>4</v>
      </c>
      <c r="E9" s="129"/>
    </row>
    <row r="10" spans="1:15" ht="13">
      <c r="A10" t="s">
        <v>648</v>
      </c>
      <c r="B10" t="s">
        <v>647</v>
      </c>
      <c r="C10" t="s">
        <v>12</v>
      </c>
      <c r="D10" s="17">
        <v>2</v>
      </c>
      <c r="E10" s="129"/>
    </row>
    <row r="11" spans="1:15" ht="13">
      <c r="A11" t="s">
        <v>646</v>
      </c>
      <c r="B11" t="s">
        <v>645</v>
      </c>
      <c r="C11" t="s">
        <v>12</v>
      </c>
      <c r="D11" s="17">
        <v>1</v>
      </c>
      <c r="E11" s="129"/>
    </row>
    <row r="12" spans="1:15">
      <c r="D12" s="1"/>
      <c r="E12" s="129"/>
    </row>
    <row r="13" spans="1:15" ht="13">
      <c r="A13" t="s">
        <v>644</v>
      </c>
      <c r="C13" t="s">
        <v>12</v>
      </c>
      <c r="D13" s="17">
        <v>20</v>
      </c>
      <c r="E13" s="129"/>
    </row>
    <row r="14" spans="1:15" ht="13">
      <c r="A14" t="s">
        <v>643</v>
      </c>
      <c r="C14" t="s">
        <v>107</v>
      </c>
      <c r="D14" s="17">
        <v>27</v>
      </c>
      <c r="E14" s="129"/>
    </row>
    <row r="15" spans="1:15" ht="13">
      <c r="A15" t="s">
        <v>642</v>
      </c>
      <c r="C15" t="s">
        <v>12</v>
      </c>
      <c r="D15" s="17">
        <v>2.5</v>
      </c>
      <c r="E15" s="129"/>
    </row>
    <row r="16" spans="1:15" ht="13">
      <c r="A16" t="s">
        <v>641</v>
      </c>
      <c r="C16" t="s">
        <v>132</v>
      </c>
      <c r="D16" s="17">
        <v>14.5</v>
      </c>
      <c r="E16" s="129"/>
    </row>
    <row r="17" spans="1:16" ht="13">
      <c r="A17" t="s">
        <v>640</v>
      </c>
      <c r="C17" t="s">
        <v>7</v>
      </c>
      <c r="D17" s="17">
        <v>400</v>
      </c>
      <c r="E17" s="129"/>
    </row>
    <row r="18" spans="1:16">
      <c r="A18" t="s">
        <v>639</v>
      </c>
      <c r="C18" t="s">
        <v>8</v>
      </c>
      <c r="D18" s="108">
        <f>D17/D5*2</f>
        <v>34.782608695652172</v>
      </c>
      <c r="E18" s="129"/>
    </row>
    <row r="19" spans="1:16">
      <c r="A19" t="s">
        <v>638</v>
      </c>
      <c r="C19" t="s">
        <v>8</v>
      </c>
      <c r="D19" s="108">
        <f>D15*D14*D9+D16*D9+D18</f>
        <v>362.78260869565219</v>
      </c>
      <c r="E19" s="128">
        <f>D19*0.5*D5/D8/2/1000</f>
        <v>0.26074999999999998</v>
      </c>
      <c r="F19" s="1">
        <f>D19*0.5*D5/D8/1000</f>
        <v>0.52149999999999996</v>
      </c>
      <c r="G19" s="1">
        <f t="shared" ref="G19:L19" si="0">F19</f>
        <v>0.52149999999999996</v>
      </c>
      <c r="H19" s="1">
        <f t="shared" si="0"/>
        <v>0.52149999999999996</v>
      </c>
      <c r="I19" s="1">
        <f t="shared" si="0"/>
        <v>0.52149999999999996</v>
      </c>
      <c r="J19" s="1">
        <f t="shared" si="0"/>
        <v>0.52149999999999996</v>
      </c>
      <c r="K19" s="1">
        <f t="shared" si="0"/>
        <v>0.52149999999999996</v>
      </c>
      <c r="L19" s="1">
        <f t="shared" si="0"/>
        <v>0.52149999999999996</v>
      </c>
      <c r="M19" s="1">
        <f>E19</f>
        <v>0.26074999999999998</v>
      </c>
      <c r="N19" t="s">
        <v>404</v>
      </c>
      <c r="P19" s="1"/>
    </row>
    <row r="20" spans="1:16">
      <c r="A20" t="s">
        <v>637</v>
      </c>
      <c r="C20" t="s">
        <v>8</v>
      </c>
      <c r="D20" s="26">
        <f>D14*LK/2*D9</f>
        <v>1080</v>
      </c>
      <c r="E20" s="101">
        <f>(D13/2-E31)*2/D13 * D20 * (0.5*D5/D8) / 1000</f>
        <v>1.5525</v>
      </c>
      <c r="F20" s="1">
        <f>(D13/2-F31)*2/D13 * D20 * (0.5*D5/D8) / 1000</f>
        <v>1.5525</v>
      </c>
      <c r="G20" s="1">
        <f>(D13/2-G31)*2/D13*D20*D5/2/D8/1000</f>
        <v>0.7668464112451101</v>
      </c>
      <c r="H20" s="1">
        <f>(D13/2-H31)*2/D13*D20*D5/2/D8/1000</f>
        <v>0.47309548582349853</v>
      </c>
      <c r="I20" s="1">
        <f>(D13/2-I31)*2/D13*D20*D5/2/D8/1000</f>
        <v>0.28231683315210399</v>
      </c>
      <c r="J20" s="1">
        <f>(D13/2-J31)*2/D13*D20*D5/2/D8/1000</f>
        <v>0.15178408380540642</v>
      </c>
      <c r="K20" s="1">
        <f>(D13/2-K31)*2/D13*D20*D5/2/D8/1000</f>
        <v>6.5545559932673136E-2</v>
      </c>
      <c r="L20" s="1">
        <f>(D13/2-L31)*2/D13*D20*D5/2/D8/1000</f>
        <v>1.612421126568642E-2</v>
      </c>
      <c r="M20" s="1">
        <f>(D13/2-M31)*2/D13*D20*D5/2/D8/1000</f>
        <v>0</v>
      </c>
      <c r="N20" t="s">
        <v>404</v>
      </c>
    </row>
    <row r="21" spans="1:16">
      <c r="F21" s="1"/>
    </row>
    <row r="22" spans="1:16">
      <c r="A22" t="s">
        <v>636</v>
      </c>
      <c r="B22" t="s">
        <v>635</v>
      </c>
      <c r="E22" s="14">
        <v>0</v>
      </c>
      <c r="F22">
        <v>1</v>
      </c>
      <c r="G22">
        <v>2</v>
      </c>
      <c r="H22">
        <v>3</v>
      </c>
      <c r="I22">
        <v>4</v>
      </c>
      <c r="J22">
        <v>5</v>
      </c>
      <c r="K22">
        <v>6</v>
      </c>
      <c r="L22">
        <v>7</v>
      </c>
      <c r="M22">
        <v>8</v>
      </c>
    </row>
    <row r="23" spans="1:16" ht="13">
      <c r="A23" t="s">
        <v>634</v>
      </c>
      <c r="B23" t="s">
        <v>633</v>
      </c>
      <c r="C23" t="s">
        <v>12</v>
      </c>
      <c r="E23" s="1">
        <v>0</v>
      </c>
      <c r="F23" s="4">
        <f>D5/2/D8</f>
        <v>1.4375</v>
      </c>
      <c r="G23" s="4">
        <f>D5/2/D8*G22</f>
        <v>2.875</v>
      </c>
      <c r="H23" s="4">
        <f>D5/2/D8*H22</f>
        <v>4.3125</v>
      </c>
      <c r="I23" s="4">
        <f>D5/2/D8*I22</f>
        <v>5.75</v>
      </c>
      <c r="J23" s="4">
        <f>D5/2/D8*J22</f>
        <v>7.1875</v>
      </c>
      <c r="K23" s="4">
        <f>D5/2/D8*K22</f>
        <v>8.625</v>
      </c>
      <c r="L23" s="4">
        <f>D5/2/D8*L22</f>
        <v>10.0625</v>
      </c>
      <c r="M23" s="4">
        <f>D5/2/D8*M22</f>
        <v>11.5</v>
      </c>
    </row>
    <row r="24" spans="1:16">
      <c r="A24" t="s">
        <v>491</v>
      </c>
      <c r="B24" t="s">
        <v>632</v>
      </c>
      <c r="C24" t="s">
        <v>404</v>
      </c>
      <c r="E24" s="101">
        <f t="shared" ref="E24:M24" si="1">E20+E19</f>
        <v>1.81325</v>
      </c>
      <c r="F24" s="101">
        <f t="shared" si="1"/>
        <v>2.0739999999999998</v>
      </c>
      <c r="G24" s="101">
        <f t="shared" si="1"/>
        <v>1.2883464112451102</v>
      </c>
      <c r="H24" s="101">
        <f t="shared" si="1"/>
        <v>0.99459548582349844</v>
      </c>
      <c r="I24" s="101">
        <f t="shared" si="1"/>
        <v>0.80381683315210395</v>
      </c>
      <c r="J24" s="101">
        <f t="shared" si="1"/>
        <v>0.67328408380540639</v>
      </c>
      <c r="K24" s="101">
        <f t="shared" si="1"/>
        <v>0.58704555993267316</v>
      </c>
      <c r="L24" s="101">
        <f t="shared" si="1"/>
        <v>0.53762421126568638</v>
      </c>
      <c r="M24" s="101">
        <f t="shared" si="1"/>
        <v>0.26074999999999998</v>
      </c>
      <c r="N24" s="1"/>
    </row>
    <row r="25" spans="1:16">
      <c r="A25" t="s">
        <v>585</v>
      </c>
      <c r="B25" t="s">
        <v>631</v>
      </c>
      <c r="C25" t="s">
        <v>404</v>
      </c>
      <c r="E25" s="1">
        <f>F24+G24+H24+I24+J24+K24+L24+M24</f>
        <v>7.2194625852244787</v>
      </c>
      <c r="F25" s="1">
        <f t="shared" ref="F25:M25" si="2">E25-F24</f>
        <v>5.1454625852244789</v>
      </c>
      <c r="G25" s="1">
        <f t="shared" si="2"/>
        <v>3.8571161739793687</v>
      </c>
      <c r="H25" s="1">
        <f t="shared" si="2"/>
        <v>2.86252068815587</v>
      </c>
      <c r="I25" s="1">
        <f t="shared" si="2"/>
        <v>2.058703855003766</v>
      </c>
      <c r="J25" s="1">
        <f t="shared" si="2"/>
        <v>1.3854197711983596</v>
      </c>
      <c r="K25" s="1">
        <f t="shared" si="2"/>
        <v>0.79837421126568642</v>
      </c>
      <c r="L25" s="1">
        <f t="shared" si="2"/>
        <v>0.26075000000000004</v>
      </c>
      <c r="M25" s="1">
        <f t="shared" si="2"/>
        <v>0</v>
      </c>
    </row>
    <row r="26" spans="1:16">
      <c r="A26" t="s">
        <v>583</v>
      </c>
      <c r="B26" t="s">
        <v>630</v>
      </c>
      <c r="C26" t="s">
        <v>404</v>
      </c>
      <c r="E26" s="1">
        <f>(E25*(D5/2-E23) - F24*(D5/2-F23) - G24*(D5/2-G23) - H24*(D5/2-H23) - I24*(D5/2-I23) - J24*(D5/2-J23) - K24*(D5/2-K23) - L24*(D5/2-L23))/D6</f>
        <v>3.2292834941142625</v>
      </c>
      <c r="F26" s="1">
        <f t="shared" ref="F26:M26" si="3">E26</f>
        <v>3.2292834941142625</v>
      </c>
      <c r="G26" s="1">
        <f t="shared" si="3"/>
        <v>3.2292834941142625</v>
      </c>
      <c r="H26" s="1">
        <f t="shared" si="3"/>
        <v>3.2292834941142625</v>
      </c>
      <c r="I26" s="1">
        <f t="shared" si="3"/>
        <v>3.2292834941142625</v>
      </c>
      <c r="J26" s="1">
        <f t="shared" si="3"/>
        <v>3.2292834941142625</v>
      </c>
      <c r="K26" s="1">
        <f t="shared" si="3"/>
        <v>3.2292834941142625</v>
      </c>
      <c r="L26" s="1">
        <f t="shared" si="3"/>
        <v>3.2292834941142625</v>
      </c>
      <c r="M26" s="1">
        <f t="shared" si="3"/>
        <v>3.2292834941142625</v>
      </c>
    </row>
    <row r="27" spans="1:16">
      <c r="A27" t="s">
        <v>629</v>
      </c>
      <c r="B27" t="s">
        <v>628</v>
      </c>
      <c r="C27" t="s">
        <v>404</v>
      </c>
      <c r="E27" s="1">
        <f t="shared" ref="E27:M27" si="4">SQRT(E25*E25+E26*E26)</f>
        <v>7.9087870059077279</v>
      </c>
      <c r="F27" s="1">
        <f t="shared" si="4"/>
        <v>6.0748709534692011</v>
      </c>
      <c r="G27" s="1">
        <f t="shared" si="4"/>
        <v>5.0304688712814896</v>
      </c>
      <c r="H27" s="1">
        <f t="shared" si="4"/>
        <v>4.3153559036861813</v>
      </c>
      <c r="I27" s="1">
        <f t="shared" si="4"/>
        <v>3.8296910381865255</v>
      </c>
      <c r="J27" s="1">
        <f t="shared" si="4"/>
        <v>3.5139237083047399</v>
      </c>
      <c r="K27" s="1">
        <f t="shared" si="4"/>
        <v>3.3265106743512676</v>
      </c>
      <c r="L27" s="1">
        <f t="shared" si="4"/>
        <v>3.2397935810571048</v>
      </c>
      <c r="M27" s="1">
        <f t="shared" si="4"/>
        <v>3.2292834941142625</v>
      </c>
    </row>
    <row r="28" spans="1:16">
      <c r="F28" s="1"/>
      <c r="G28" s="1"/>
      <c r="H28" s="1"/>
      <c r="I28" s="1"/>
      <c r="J28" s="1"/>
    </row>
    <row r="29" spans="1:16">
      <c r="A29" t="s">
        <v>627</v>
      </c>
      <c r="C29" t="s">
        <v>57</v>
      </c>
      <c r="E29" s="1">
        <f t="shared" ref="E29:M29" si="5">E25/E26</f>
        <v>2.2356236602895883</v>
      </c>
      <c r="F29" s="1">
        <f t="shared" si="5"/>
        <v>1.5933759283143369</v>
      </c>
      <c r="G29" s="1">
        <f t="shared" si="5"/>
        <v>1.1944185702523185</v>
      </c>
      <c r="H29" s="1">
        <f t="shared" si="5"/>
        <v>0.88642594971086941</v>
      </c>
      <c r="I29" s="1">
        <f t="shared" si="5"/>
        <v>0.63751103263494469</v>
      </c>
      <c r="J29" s="1">
        <f t="shared" si="5"/>
        <v>0.42901769811273771</v>
      </c>
      <c r="K29" s="1">
        <f t="shared" si="5"/>
        <v>0.24722952095126194</v>
      </c>
      <c r="L29" s="1">
        <f t="shared" si="5"/>
        <v>8.07454658209001E-2</v>
      </c>
      <c r="M29" s="1">
        <f t="shared" si="5"/>
        <v>0</v>
      </c>
    </row>
    <row r="30" spans="1:16">
      <c r="A30" t="s">
        <v>626</v>
      </c>
      <c r="B30" t="s">
        <v>625</v>
      </c>
      <c r="C30" t="s">
        <v>12</v>
      </c>
      <c r="E30" s="1">
        <v>0</v>
      </c>
      <c r="F30" s="1">
        <f t="shared" ref="F30:M30" si="6">E30+(F23-E23)*E29</f>
        <v>3.2137090116662832</v>
      </c>
      <c r="G30" s="1">
        <f t="shared" si="6"/>
        <v>5.5041869086181432</v>
      </c>
      <c r="H30" s="1">
        <f t="shared" si="6"/>
        <v>7.2211636033558513</v>
      </c>
      <c r="I30" s="1">
        <f t="shared" si="6"/>
        <v>8.4954009060652265</v>
      </c>
      <c r="J30" s="1">
        <f t="shared" si="6"/>
        <v>9.4118230154779603</v>
      </c>
      <c r="K30" s="1">
        <f t="shared" si="6"/>
        <v>10.028535956515022</v>
      </c>
      <c r="L30" s="1">
        <f t="shared" si="6"/>
        <v>10.38392839288246</v>
      </c>
      <c r="M30" s="1">
        <f t="shared" si="6"/>
        <v>10.500000000000004</v>
      </c>
      <c r="O30" t="s">
        <v>624</v>
      </c>
    </row>
    <row r="31" spans="1:16">
      <c r="A31" t="s">
        <v>623</v>
      </c>
      <c r="B31" t="s">
        <v>622</v>
      </c>
      <c r="C31" t="s">
        <v>12</v>
      </c>
      <c r="E31" s="1">
        <v>0</v>
      </c>
      <c r="F31" s="1">
        <f>SQRT(MAX(D13*D13/4-(D13/2-(F23-(D5-D13)/2))^2,0))</f>
        <v>0</v>
      </c>
      <c r="G31" s="1">
        <f>SQRT(D13*D13/4-(D13/2-(G23-(D5-D13)/2))^2)</f>
        <v>5.0605706199992904</v>
      </c>
      <c r="H31" s="1">
        <f>SQRT(D13*D13/4-(D13/2-(H23-(D5-D13)/2))^2)</f>
        <v>6.9526860816521836</v>
      </c>
      <c r="I31" s="1">
        <f>SQRT(D13*D13/4-(D13/2-(I23-(D5-D13)/2))^2)</f>
        <v>8.1815340859767858</v>
      </c>
      <c r="J31" s="1">
        <f>SQRT(D13*D13/4-(D13/2-(J23-(D5-D13)/2))^2)</f>
        <v>9.0223247419941615</v>
      </c>
      <c r="K31" s="1">
        <f>SQRT(D13*D13/4-(D13/2-(K23-(D5-D13)/2))^2)</f>
        <v>9.5778063772452615</v>
      </c>
      <c r="L31" s="1">
        <f>SQRT(D13*D13/4-(D13/2-(L23-(D5-D13)/2))^2)</f>
        <v>9.8961403461147412</v>
      </c>
      <c r="M31" s="1">
        <f>SQRT(D13*D13/4-(D13/2-(M23-(D5-D13)/2))^2)</f>
        <v>10</v>
      </c>
      <c r="O31" t="s">
        <v>621</v>
      </c>
    </row>
    <row r="32" spans="1:16">
      <c r="A32" t="s">
        <v>620</v>
      </c>
      <c r="B32" t="s">
        <v>619</v>
      </c>
      <c r="C32" t="s">
        <v>12</v>
      </c>
      <c r="E32" s="1">
        <f>D10-(D10-D11)/2/D5*E23</f>
        <v>2</v>
      </c>
      <c r="F32" s="1">
        <f>D10-(D10-D11)*2/D5*F23</f>
        <v>1.875</v>
      </c>
      <c r="G32" s="1">
        <f>D10-(D10-D11)*2/D5*G23</f>
        <v>1.75</v>
      </c>
      <c r="H32" s="1">
        <f>D10-(D10-D11)*2/D5*H23</f>
        <v>1.625</v>
      </c>
      <c r="I32" s="1">
        <f>D10-(D10-D11)*2/D5*I23</f>
        <v>1.5</v>
      </c>
      <c r="J32" s="1">
        <f>D10-(D10-D11)*2/D5*J23</f>
        <v>1.375</v>
      </c>
      <c r="K32" s="1">
        <f>D10-(D10-D11)*2/D5*K23</f>
        <v>1.25</v>
      </c>
      <c r="L32" s="1">
        <f>D10-(D10-D11)*2/D5*L23</f>
        <v>1.125</v>
      </c>
      <c r="M32" s="1">
        <f>D10-(D10-D11)*2/D5*M23</f>
        <v>1</v>
      </c>
    </row>
    <row r="33" spans="1:16">
      <c r="A33" t="s">
        <v>618</v>
      </c>
      <c r="C33" s="102" t="s">
        <v>12</v>
      </c>
      <c r="F33" s="1">
        <f t="shared" ref="F33:M33" si="7">COS(ATAN(F29))*(F30-F31)</f>
        <v>1.708345337004006</v>
      </c>
      <c r="G33" s="1">
        <f t="shared" si="7"/>
        <v>0.28477718383975431</v>
      </c>
      <c r="H33" s="1">
        <f t="shared" si="7"/>
        <v>0.20090811713531531</v>
      </c>
      <c r="I33" s="1">
        <f t="shared" si="7"/>
        <v>0.26465971571996211</v>
      </c>
      <c r="J33" s="1">
        <f t="shared" si="7"/>
        <v>0.35794753954804803</v>
      </c>
      <c r="K33" s="1">
        <f t="shared" si="7"/>
        <v>0.4375556651201063</v>
      </c>
      <c r="L33" s="1">
        <f t="shared" si="7"/>
        <v>0.48620563274875667</v>
      </c>
      <c r="M33" s="1">
        <f t="shared" si="7"/>
        <v>0.50000000000000355</v>
      </c>
    </row>
    <row r="34" spans="1:16">
      <c r="A34" t="s">
        <v>617</v>
      </c>
      <c r="C34" s="102" t="s">
        <v>12</v>
      </c>
      <c r="F34" s="1">
        <f t="shared" ref="F34:M34" si="8">F33*2</f>
        <v>3.4166906740080121</v>
      </c>
      <c r="G34" s="1">
        <f t="shared" si="8"/>
        <v>0.56955436767950862</v>
      </c>
      <c r="H34" s="1">
        <f t="shared" si="8"/>
        <v>0.40181623427063062</v>
      </c>
      <c r="I34" s="1">
        <f t="shared" si="8"/>
        <v>0.52931943143992422</v>
      </c>
      <c r="J34" s="1">
        <f t="shared" si="8"/>
        <v>0.71589507909609607</v>
      </c>
      <c r="K34" s="1">
        <f t="shared" si="8"/>
        <v>0.87511133024021259</v>
      </c>
      <c r="L34" s="1">
        <f t="shared" si="8"/>
        <v>0.97241126549751333</v>
      </c>
      <c r="M34" s="1">
        <f t="shared" si="8"/>
        <v>1.0000000000000071</v>
      </c>
    </row>
    <row r="35" spans="1:16">
      <c r="A35" t="s">
        <v>616</v>
      </c>
      <c r="C35" t="s">
        <v>150</v>
      </c>
      <c r="F35" s="127">
        <f>F27/MIN(F32,F34)/D9</f>
        <v>0.80998279379589344</v>
      </c>
      <c r="G35" s="127">
        <f>G27/MIN(G32,G34)/D9</f>
        <v>2.2080722915780369</v>
      </c>
      <c r="H35" s="127">
        <f>H27/MIN(H32,H34)/D9</f>
        <v>2.684906392296055</v>
      </c>
      <c r="I35" s="127">
        <f>I27/MIN(I32,I34)/D9</f>
        <v>1.8087806769952206</v>
      </c>
      <c r="J35" s="127">
        <f>J27/MIN(J32,J34)/D9</f>
        <v>1.2271084866030553</v>
      </c>
      <c r="K35" s="127">
        <f>K27/MIN(K32,K34)/D9</f>
        <v>0.950310708878081</v>
      </c>
      <c r="L35" s="127">
        <f>L27/MIN(L32,L34)/D9</f>
        <v>0.83292781974289809</v>
      </c>
      <c r="M35" s="127">
        <f>M27/MIN(M32,M34)/D9</f>
        <v>0.80732087352856563</v>
      </c>
    </row>
    <row r="38" spans="1:16">
      <c r="E38" s="1" t="s">
        <v>615</v>
      </c>
    </row>
    <row r="39" spans="1:16">
      <c r="E39" s="1">
        <v>0</v>
      </c>
      <c r="F39">
        <v>5</v>
      </c>
      <c r="G39">
        <v>10</v>
      </c>
      <c r="H39">
        <v>20</v>
      </c>
      <c r="I39">
        <v>30</v>
      </c>
      <c r="J39">
        <v>40</v>
      </c>
      <c r="K39">
        <v>50</v>
      </c>
      <c r="L39">
        <v>60</v>
      </c>
      <c r="M39">
        <v>70</v>
      </c>
      <c r="N39">
        <v>80</v>
      </c>
      <c r="O39">
        <v>90</v>
      </c>
      <c r="P39" s="102" t="s">
        <v>614</v>
      </c>
    </row>
    <row r="40" spans="1:16">
      <c r="E40" s="1">
        <f t="shared" ref="E40:O40" si="9">E39*3.14159/180</f>
        <v>0</v>
      </c>
      <c r="F40" s="1">
        <f t="shared" si="9"/>
        <v>8.7266388888888893E-2</v>
      </c>
      <c r="G40" s="1">
        <f t="shared" si="9"/>
        <v>0.17453277777777779</v>
      </c>
      <c r="H40" s="1">
        <f t="shared" si="9"/>
        <v>0.34906555555555557</v>
      </c>
      <c r="I40" s="1">
        <f t="shared" si="9"/>
        <v>0.52359833333333328</v>
      </c>
      <c r="J40" s="1">
        <f t="shared" si="9"/>
        <v>0.69813111111111115</v>
      </c>
      <c r="K40" s="1">
        <f t="shared" si="9"/>
        <v>0.87266388888888891</v>
      </c>
      <c r="L40" s="1">
        <f t="shared" si="9"/>
        <v>1.0471966666666666</v>
      </c>
      <c r="M40" s="1">
        <f t="shared" si="9"/>
        <v>1.2217294444444444</v>
      </c>
      <c r="N40" s="1">
        <f t="shared" si="9"/>
        <v>1.3962622222222223</v>
      </c>
      <c r="O40" s="1">
        <f t="shared" si="9"/>
        <v>1.5707949999999999</v>
      </c>
      <c r="P40" s="102" t="s">
        <v>613</v>
      </c>
    </row>
    <row r="41" spans="1:16">
      <c r="E41" s="1">
        <f t="shared" ref="E41:O41" si="10">0.5*LK*SIN(E40)</f>
        <v>0</v>
      </c>
      <c r="F41" s="1">
        <f t="shared" si="10"/>
        <v>0.87155669317322304</v>
      </c>
      <c r="G41" s="1">
        <f t="shared" si="10"/>
        <v>1.7364803248493947</v>
      </c>
      <c r="H41" s="1">
        <f t="shared" si="10"/>
        <v>3.4201986626357082</v>
      </c>
      <c r="I41" s="1">
        <f t="shared" si="10"/>
        <v>4.9999961698725572</v>
      </c>
      <c r="J41" s="1">
        <f t="shared" si="10"/>
        <v>6.4278715796026864</v>
      </c>
      <c r="K41" s="1">
        <f t="shared" si="10"/>
        <v>7.6604396931470315</v>
      </c>
      <c r="L41" s="1">
        <f t="shared" si="10"/>
        <v>8.6602496151913417</v>
      </c>
      <c r="M41" s="1">
        <f t="shared" si="10"/>
        <v>9.3969226783717872</v>
      </c>
      <c r="N41" s="1">
        <f t="shared" si="10"/>
        <v>9.8480754821550889</v>
      </c>
      <c r="O41" s="1">
        <f t="shared" si="10"/>
        <v>9.9999999999911982</v>
      </c>
      <c r="P41" s="102" t="s">
        <v>612</v>
      </c>
    </row>
    <row r="42" spans="1:16">
      <c r="E42" s="1">
        <f t="shared" ref="E42:O42" si="11">0.5*(LS-LK)+0.5*LK*(1-COS(E40))</f>
        <v>1.5</v>
      </c>
      <c r="F42" s="1">
        <f t="shared" si="11"/>
        <v>1.5380529548393527</v>
      </c>
      <c r="G42" s="1">
        <f t="shared" si="11"/>
        <v>1.651922213883009</v>
      </c>
      <c r="H42" s="1">
        <f t="shared" si="11"/>
        <v>2.1030727837178116</v>
      </c>
      <c r="I42" s="1">
        <f t="shared" si="11"/>
        <v>2.8397437508316323</v>
      </c>
      <c r="J42" s="1">
        <f t="shared" si="11"/>
        <v>3.8395517783790174</v>
      </c>
      <c r="K42" s="1">
        <f t="shared" si="11"/>
        <v>5.0721182565593654</v>
      </c>
      <c r="L42" s="1">
        <f t="shared" si="11"/>
        <v>6.4999923397480472</v>
      </c>
      <c r="M42" s="1">
        <f t="shared" si="11"/>
        <v>8.0797888695722264</v>
      </c>
      <c r="N42" s="1">
        <f t="shared" si="11"/>
        <v>9.7635066087727864</v>
      </c>
      <c r="O42" s="1">
        <f t="shared" si="11"/>
        <v>11.499986732051033</v>
      </c>
      <c r="P42" s="102" t="s">
        <v>611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71"/>
  <sheetViews>
    <sheetView topLeftCell="A8" zoomScale="130" zoomScaleNormal="130" workbookViewId="0">
      <selection activeCell="J48" sqref="J48"/>
    </sheetView>
  </sheetViews>
  <sheetFormatPr baseColWidth="10" defaultRowHeight="12.5"/>
  <cols>
    <col min="1" max="1" width="27.54296875" customWidth="1"/>
    <col min="2" max="2" width="5.453125" customWidth="1"/>
    <col min="3" max="6" width="7.7265625" customWidth="1"/>
    <col min="7" max="7" width="7.7265625" style="1" customWidth="1"/>
    <col min="8" max="8" width="16.453125" style="9" customWidth="1"/>
  </cols>
  <sheetData>
    <row r="1" spans="1:8">
      <c r="A1" t="s">
        <v>69</v>
      </c>
    </row>
    <row r="2" spans="1:8">
      <c r="A2" s="18" t="s">
        <v>79</v>
      </c>
    </row>
    <row r="3" spans="1:8">
      <c r="A3" t="s">
        <v>74</v>
      </c>
    </row>
    <row r="4" spans="1:8">
      <c r="A4" t="s">
        <v>76</v>
      </c>
    </row>
    <row r="5" spans="1:8">
      <c r="D5" s="2" t="s">
        <v>1</v>
      </c>
      <c r="E5" s="2" t="s">
        <v>3</v>
      </c>
      <c r="F5" s="2" t="s">
        <v>2</v>
      </c>
      <c r="G5" s="3" t="s">
        <v>0</v>
      </c>
      <c r="H5" s="8"/>
    </row>
    <row r="6" spans="1:8" ht="13">
      <c r="A6" s="11" t="s">
        <v>23</v>
      </c>
    </row>
    <row r="7" spans="1:8" ht="13">
      <c r="A7" t="s">
        <v>6</v>
      </c>
      <c r="C7" t="s">
        <v>12</v>
      </c>
      <c r="D7" s="17">
        <v>4.96</v>
      </c>
      <c r="E7" s="17">
        <v>4.96</v>
      </c>
      <c r="F7" s="17">
        <v>4.96</v>
      </c>
      <c r="G7" s="17">
        <v>4.96</v>
      </c>
    </row>
    <row r="8" spans="1:8" ht="13">
      <c r="A8" t="s">
        <v>9</v>
      </c>
      <c r="D8" s="17">
        <v>0.183</v>
      </c>
      <c r="E8" s="17">
        <v>0.183</v>
      </c>
      <c r="F8" s="17">
        <v>0.183</v>
      </c>
      <c r="G8" s="17">
        <v>0.183</v>
      </c>
    </row>
    <row r="9" spans="1:8">
      <c r="A9" t="s">
        <v>4</v>
      </c>
      <c r="C9" t="s">
        <v>131</v>
      </c>
      <c r="D9" s="5">
        <f>D7*D7*D8</f>
        <v>4.5020927999999998</v>
      </c>
      <c r="E9" s="5">
        <f>E7*E7*E8</f>
        <v>4.5020927999999998</v>
      </c>
      <c r="F9" s="5">
        <f>F7*F7*F8</f>
        <v>4.5020927999999998</v>
      </c>
      <c r="G9" s="5">
        <f>G7*G7*G8</f>
        <v>4.5020927999999998</v>
      </c>
    </row>
    <row r="10" spans="1:8" s="6" customFormat="1" ht="13">
      <c r="A10" s="15" t="s">
        <v>26</v>
      </c>
      <c r="D10" s="7"/>
      <c r="E10" s="7"/>
      <c r="F10" s="7"/>
      <c r="G10" s="7"/>
      <c r="H10" s="10"/>
    </row>
    <row r="11" spans="1:8" ht="13">
      <c r="A11" t="s">
        <v>25</v>
      </c>
      <c r="C11" t="s">
        <v>132</v>
      </c>
      <c r="D11" s="17">
        <v>4.5999999999999996</v>
      </c>
      <c r="E11" s="17">
        <v>6.5</v>
      </c>
      <c r="F11" s="17">
        <v>6.5</v>
      </c>
      <c r="G11" s="17">
        <v>6.5</v>
      </c>
      <c r="H11" s="9" t="s">
        <v>68</v>
      </c>
    </row>
    <row r="12" spans="1:8">
      <c r="A12" t="s">
        <v>45</v>
      </c>
      <c r="C12" t="s">
        <v>7</v>
      </c>
      <c r="D12" s="1">
        <f>D11*D9</f>
        <v>20.709626879999998</v>
      </c>
      <c r="E12" s="1">
        <f>E11*E9</f>
        <v>29.263603199999999</v>
      </c>
      <c r="F12" s="1">
        <f>F11*F9</f>
        <v>29.263603199999999</v>
      </c>
      <c r="G12" s="1">
        <f>G11*G9</f>
        <v>29.263603199999999</v>
      </c>
    </row>
    <row r="13" spans="1:8">
      <c r="A13" t="s">
        <v>46</v>
      </c>
      <c r="C13" t="s">
        <v>8</v>
      </c>
      <c r="D13" s="1">
        <f>D12/D7</f>
        <v>4.1753279999999995</v>
      </c>
      <c r="E13" s="1">
        <f>E12/E7</f>
        <v>5.8999199999999998</v>
      </c>
      <c r="F13" s="1">
        <f>F12/F7</f>
        <v>5.8999199999999998</v>
      </c>
      <c r="G13" s="1">
        <f>G12/G7</f>
        <v>5.8999199999999998</v>
      </c>
    </row>
    <row r="14" spans="1:8" s="6" customFormat="1" ht="13">
      <c r="A14" s="15" t="s">
        <v>24</v>
      </c>
      <c r="D14" s="7"/>
      <c r="E14" s="7"/>
      <c r="F14" s="7"/>
      <c r="G14" s="7"/>
      <c r="H14" s="10"/>
    </row>
    <row r="15" spans="1:8" ht="13">
      <c r="A15" t="s">
        <v>11</v>
      </c>
      <c r="C15" t="s">
        <v>12</v>
      </c>
      <c r="D15" s="17">
        <v>0.24</v>
      </c>
      <c r="E15" s="17">
        <v>0.24</v>
      </c>
      <c r="F15" s="17">
        <v>0.24</v>
      </c>
      <c r="G15" s="17">
        <v>0.24</v>
      </c>
      <c r="H15" s="4"/>
    </row>
    <row r="16" spans="1:8" ht="13">
      <c r="A16" t="s">
        <v>10</v>
      </c>
      <c r="C16" t="s">
        <v>12</v>
      </c>
      <c r="D16" s="17">
        <v>2.62</v>
      </c>
      <c r="E16" s="17">
        <v>2.6749999999999998</v>
      </c>
      <c r="F16" s="17">
        <v>2.6749999999999998</v>
      </c>
      <c r="G16" s="17">
        <v>2.6749999999999998</v>
      </c>
    </row>
    <row r="17" spans="1:8" ht="13">
      <c r="A17" t="s">
        <v>14</v>
      </c>
      <c r="C17" t="s">
        <v>107</v>
      </c>
      <c r="D17" s="17">
        <v>20</v>
      </c>
      <c r="E17" s="17">
        <v>20</v>
      </c>
      <c r="F17" s="17">
        <v>20</v>
      </c>
      <c r="G17" s="17">
        <v>20</v>
      </c>
      <c r="H17" s="9" t="s">
        <v>64</v>
      </c>
    </row>
    <row r="18" spans="1:8">
      <c r="A18" t="s">
        <v>42</v>
      </c>
      <c r="C18" t="s">
        <v>132</v>
      </c>
      <c r="D18" s="1">
        <f>D17*D15</f>
        <v>4.8</v>
      </c>
      <c r="E18" s="1">
        <f t="shared" ref="D18:G19" si="0">E17*E15</f>
        <v>4.8</v>
      </c>
      <c r="F18" s="1">
        <f t="shared" si="0"/>
        <v>4.8</v>
      </c>
      <c r="G18" s="1">
        <f t="shared" si="0"/>
        <v>4.8</v>
      </c>
    </row>
    <row r="19" spans="1:8">
      <c r="A19" t="s">
        <v>43</v>
      </c>
      <c r="C19" t="s">
        <v>8</v>
      </c>
      <c r="D19" s="1">
        <f t="shared" si="0"/>
        <v>12.576000000000001</v>
      </c>
      <c r="E19" s="1">
        <f t="shared" si="0"/>
        <v>12.839999999999998</v>
      </c>
      <c r="F19" s="1">
        <f t="shared" si="0"/>
        <v>12.839999999999998</v>
      </c>
      <c r="G19" s="1">
        <f t="shared" si="0"/>
        <v>12.839999999999998</v>
      </c>
    </row>
    <row r="20" spans="1:8" ht="13">
      <c r="A20" t="s">
        <v>15</v>
      </c>
      <c r="C20" t="s">
        <v>132</v>
      </c>
      <c r="D20" s="17">
        <v>0.5</v>
      </c>
      <c r="E20" s="17">
        <v>0.5</v>
      </c>
      <c r="F20" s="17">
        <v>0.5</v>
      </c>
      <c r="G20" s="17">
        <v>0.5</v>
      </c>
    </row>
    <row r="21" spans="1:8">
      <c r="A21" t="s">
        <v>44</v>
      </c>
      <c r="C21" t="s">
        <v>8</v>
      </c>
      <c r="D21" s="1">
        <f>D20*D16</f>
        <v>1.31</v>
      </c>
      <c r="E21" s="1">
        <f>E20*E16</f>
        <v>1.3374999999999999</v>
      </c>
      <c r="F21" s="1">
        <f>F20*F16</f>
        <v>1.3374999999999999</v>
      </c>
      <c r="G21" s="1">
        <f>G20*G16</f>
        <v>1.3374999999999999</v>
      </c>
    </row>
    <row r="22" spans="1:8">
      <c r="A22" t="s">
        <v>16</v>
      </c>
      <c r="C22" t="s">
        <v>8</v>
      </c>
      <c r="D22" s="1">
        <f>D19+D21</f>
        <v>13.886000000000001</v>
      </c>
      <c r="E22" s="1">
        <f>E19+E21</f>
        <v>14.177499999999998</v>
      </c>
      <c r="F22" s="1">
        <f>F19+F21</f>
        <v>14.177499999999998</v>
      </c>
      <c r="G22" s="1">
        <f>G19+G21</f>
        <v>14.177499999999998</v>
      </c>
    </row>
    <row r="23" spans="1:8" s="6" customFormat="1">
      <c r="A23" s="6" t="s">
        <v>35</v>
      </c>
      <c r="D23" s="7"/>
      <c r="E23" s="7"/>
      <c r="F23" s="7"/>
      <c r="G23" s="7"/>
      <c r="H23" s="10"/>
    </row>
    <row r="24" spans="1:8">
      <c r="A24" t="s">
        <v>32</v>
      </c>
      <c r="C24" t="s">
        <v>8</v>
      </c>
      <c r="D24" s="1">
        <f>D13</f>
        <v>4.1753279999999995</v>
      </c>
      <c r="E24" s="1">
        <f>D26+E13</f>
        <v>23.961247999999998</v>
      </c>
      <c r="F24" s="1">
        <f>E26+F13</f>
        <v>44.038667999999994</v>
      </c>
      <c r="G24" s="1">
        <f>F26+G13</f>
        <v>64.116087999999991</v>
      </c>
    </row>
    <row r="25" spans="1:8">
      <c r="A25" t="s">
        <v>33</v>
      </c>
      <c r="C25" t="s">
        <v>8</v>
      </c>
      <c r="D25" s="1">
        <f>D13+D22/2</f>
        <v>11.118328</v>
      </c>
      <c r="E25" s="1">
        <f>E24+E22/2</f>
        <v>31.049997999999995</v>
      </c>
      <c r="F25" s="1">
        <f>F24+F22/2</f>
        <v>51.127417999999992</v>
      </c>
      <c r="G25" s="1">
        <f>G24+G22/2</f>
        <v>71.204837999999995</v>
      </c>
    </row>
    <row r="26" spans="1:8">
      <c r="A26" t="s">
        <v>34</v>
      </c>
      <c r="C26" t="s">
        <v>8</v>
      </c>
      <c r="D26" s="1">
        <f>D13+D22</f>
        <v>18.061328</v>
      </c>
      <c r="E26" s="1">
        <f>E24+E22</f>
        <v>38.138747999999993</v>
      </c>
      <c r="F26" s="1">
        <f>F24+F22</f>
        <v>58.216167999999996</v>
      </c>
      <c r="G26" s="1">
        <f>G24+G22</f>
        <v>78.293587999999986</v>
      </c>
    </row>
    <row r="27" spans="1:8" ht="13">
      <c r="A27" t="s">
        <v>17</v>
      </c>
      <c r="D27" s="17">
        <v>1.35</v>
      </c>
      <c r="E27" s="17">
        <v>1.35</v>
      </c>
      <c r="F27" s="17">
        <v>1.35</v>
      </c>
      <c r="G27" s="17">
        <v>1.35</v>
      </c>
      <c r="H27" s="4"/>
    </row>
    <row r="28" spans="1:8" s="6" customFormat="1" ht="13">
      <c r="A28" s="15" t="s">
        <v>27</v>
      </c>
      <c r="D28" s="7"/>
      <c r="E28" s="7"/>
      <c r="F28" s="7"/>
      <c r="G28" s="7"/>
      <c r="H28" s="10"/>
    </row>
    <row r="29" spans="1:8" ht="13">
      <c r="A29" t="s">
        <v>25</v>
      </c>
      <c r="C29" t="s">
        <v>132</v>
      </c>
      <c r="D29" s="17">
        <v>0</v>
      </c>
      <c r="E29" s="17">
        <v>3.2</v>
      </c>
      <c r="F29" s="17">
        <v>3.2</v>
      </c>
      <c r="G29" s="17">
        <v>3.2</v>
      </c>
      <c r="H29" s="9" t="s">
        <v>65</v>
      </c>
    </row>
    <row r="30" spans="1:8">
      <c r="A30" t="s">
        <v>45</v>
      </c>
      <c r="C30" t="s">
        <v>7</v>
      </c>
      <c r="D30" s="1">
        <f>D29*D9</f>
        <v>0</v>
      </c>
      <c r="E30" s="1">
        <f>E29*E9</f>
        <v>14.40669696</v>
      </c>
      <c r="F30" s="1">
        <f>F29*F9</f>
        <v>14.40669696</v>
      </c>
      <c r="G30" s="1">
        <f>G29*G9</f>
        <v>14.40669696</v>
      </c>
    </row>
    <row r="31" spans="1:8">
      <c r="A31" t="s">
        <v>46</v>
      </c>
      <c r="C31" t="s">
        <v>8</v>
      </c>
      <c r="D31" s="1">
        <f>D30/D7</f>
        <v>0</v>
      </c>
      <c r="E31" s="1">
        <f>E30/E7</f>
        <v>2.904576</v>
      </c>
      <c r="F31" s="1">
        <f>F30/F7</f>
        <v>2.904576</v>
      </c>
      <c r="G31" s="1">
        <f>G30/G7</f>
        <v>2.904576</v>
      </c>
    </row>
    <row r="32" spans="1:8">
      <c r="A32" t="s">
        <v>28</v>
      </c>
      <c r="C32" t="s">
        <v>8</v>
      </c>
      <c r="D32" s="1">
        <f>D31</f>
        <v>0</v>
      </c>
      <c r="E32" s="1">
        <f>D32+E31</f>
        <v>2.904576</v>
      </c>
      <c r="F32" s="1">
        <f>E32+F31</f>
        <v>5.8091520000000001</v>
      </c>
      <c r="G32" s="1">
        <f>F32+G31</f>
        <v>8.7137279999999997</v>
      </c>
    </row>
    <row r="33" spans="1:8" ht="13">
      <c r="A33" t="s">
        <v>18</v>
      </c>
      <c r="D33" s="17">
        <v>1.5</v>
      </c>
      <c r="E33" s="17">
        <v>1.5</v>
      </c>
      <c r="F33" s="17">
        <v>1.5</v>
      </c>
      <c r="G33" s="17">
        <v>1.5</v>
      </c>
    </row>
    <row r="34" spans="1:8" s="6" customFormat="1" ht="13">
      <c r="A34" s="15" t="s">
        <v>39</v>
      </c>
      <c r="D34" s="7"/>
      <c r="E34" s="7"/>
      <c r="F34" s="7"/>
      <c r="G34" s="12"/>
      <c r="H34" s="10"/>
    </row>
    <row r="35" spans="1:8">
      <c r="A35" t="s">
        <v>32</v>
      </c>
      <c r="C35" t="s">
        <v>8</v>
      </c>
      <c r="D35" s="9">
        <f>D24*D27+D32*D33</f>
        <v>5.6366927999999996</v>
      </c>
      <c r="E35" s="9"/>
      <c r="F35" s="9"/>
      <c r="G35" s="9">
        <f>G24*G27+G32*G33</f>
        <v>99.627310800000004</v>
      </c>
    </row>
    <row r="36" spans="1:8">
      <c r="A36" t="s">
        <v>33</v>
      </c>
      <c r="C36" t="s">
        <v>8</v>
      </c>
      <c r="D36" s="9">
        <f>D25*D27+D32*D33</f>
        <v>15.009742800000001</v>
      </c>
      <c r="E36" s="9"/>
      <c r="F36" s="9"/>
      <c r="G36" s="9">
        <f>G25*G27+G32*G33</f>
        <v>109.1971233</v>
      </c>
    </row>
    <row r="37" spans="1:8">
      <c r="A37" t="s">
        <v>34</v>
      </c>
      <c r="C37" t="s">
        <v>8</v>
      </c>
      <c r="D37" s="9">
        <f>D26*D27+D32*D33</f>
        <v>24.382792800000001</v>
      </c>
      <c r="E37" s="9"/>
      <c r="F37" s="9"/>
      <c r="G37" s="9">
        <f>G26*G27+G32*G33</f>
        <v>118.7669358</v>
      </c>
    </row>
    <row r="38" spans="1:8" s="6" customFormat="1" ht="13">
      <c r="A38" s="15" t="s">
        <v>22</v>
      </c>
      <c r="G38" s="7"/>
      <c r="H38" s="10"/>
    </row>
    <row r="39" spans="1:8" ht="13">
      <c r="A39" t="s">
        <v>19</v>
      </c>
      <c r="B39" t="s">
        <v>87</v>
      </c>
      <c r="C39" s="18" t="s">
        <v>150</v>
      </c>
      <c r="G39" s="21">
        <v>7.2</v>
      </c>
      <c r="H39" s="23" t="s">
        <v>75</v>
      </c>
    </row>
    <row r="40" spans="1:8" ht="13">
      <c r="A40" t="s">
        <v>20</v>
      </c>
      <c r="B40" t="s">
        <v>67</v>
      </c>
      <c r="G40" s="17">
        <v>1.5</v>
      </c>
      <c r="H40" s="5" t="s">
        <v>77</v>
      </c>
    </row>
    <row r="41" spans="1:8" ht="13">
      <c r="A41" t="s">
        <v>94</v>
      </c>
      <c r="B41" s="18" t="s">
        <v>78</v>
      </c>
      <c r="G41" s="17">
        <v>0.85</v>
      </c>
      <c r="H41" s="5" t="s">
        <v>95</v>
      </c>
    </row>
    <row r="42" spans="1:8">
      <c r="A42" t="s">
        <v>40</v>
      </c>
      <c r="B42" t="s">
        <v>63</v>
      </c>
      <c r="C42" s="18" t="s">
        <v>106</v>
      </c>
      <c r="G42" s="9">
        <f>G39/G40*G41</f>
        <v>4.08</v>
      </c>
    </row>
    <row r="43" spans="1:8">
      <c r="A43" t="s">
        <v>41</v>
      </c>
      <c r="C43" t="s">
        <v>8</v>
      </c>
      <c r="G43" s="9">
        <f>G42*G15*1000</f>
        <v>979.19999999999993</v>
      </c>
    </row>
    <row r="45" spans="1:8" ht="13">
      <c r="A45" s="11" t="s">
        <v>141</v>
      </c>
    </row>
    <row r="47" spans="1:8">
      <c r="G47"/>
    </row>
    <row r="48" spans="1:8" ht="13">
      <c r="D48" s="11"/>
      <c r="E48" s="11"/>
      <c r="F48" s="11"/>
      <c r="G48" s="4"/>
    </row>
    <row r="49" spans="4:7" ht="13">
      <c r="D49" s="11"/>
      <c r="E49" s="11"/>
      <c r="F49" s="11"/>
      <c r="G49" s="4"/>
    </row>
    <row r="51" spans="4:7">
      <c r="D51" s="1"/>
      <c r="E51" s="1"/>
      <c r="F51" s="1"/>
    </row>
    <row r="52" spans="4:7" ht="13">
      <c r="D52" s="4"/>
      <c r="E52" s="4"/>
      <c r="F52" s="4"/>
      <c r="G52" s="4"/>
    </row>
    <row r="53" spans="4:7">
      <c r="G53"/>
    </row>
    <row r="54" spans="4:7">
      <c r="D54" s="1"/>
      <c r="E54" s="1"/>
      <c r="F54" s="1"/>
    </row>
    <row r="55" spans="4:7" ht="13">
      <c r="D55" s="4"/>
      <c r="E55" s="4"/>
      <c r="F55" s="4"/>
      <c r="G55" s="4"/>
    </row>
    <row r="56" spans="4:7" ht="13">
      <c r="D56" s="4"/>
      <c r="E56" s="4"/>
      <c r="F56" s="4"/>
      <c r="G56" s="4"/>
    </row>
    <row r="57" spans="4:7" ht="13">
      <c r="D57" s="4"/>
      <c r="E57" s="4"/>
      <c r="F57" s="4"/>
      <c r="G57" s="4"/>
    </row>
    <row r="58" spans="4:7">
      <c r="D58" s="1"/>
      <c r="E58" s="1"/>
      <c r="F58" s="1"/>
    </row>
    <row r="59" spans="4:7">
      <c r="D59" s="1"/>
      <c r="E59" s="1"/>
      <c r="F59" s="1"/>
    </row>
    <row r="60" spans="4:7" ht="13">
      <c r="D60" s="4"/>
      <c r="E60" s="4"/>
      <c r="F60" s="4"/>
      <c r="G60" s="4"/>
    </row>
    <row r="61" spans="4:7">
      <c r="D61" s="1"/>
      <c r="E61" s="1"/>
      <c r="F61" s="1"/>
    </row>
    <row r="62" spans="4:7">
      <c r="D62" s="1"/>
      <c r="E62" s="1"/>
      <c r="F62" s="1"/>
    </row>
    <row r="64" spans="4:7">
      <c r="D64" s="1"/>
      <c r="E64" s="1"/>
      <c r="F64" s="1"/>
    </row>
    <row r="65" spans="4:7">
      <c r="D65" s="1"/>
      <c r="E65" s="1"/>
      <c r="F65" s="1"/>
    </row>
    <row r="66" spans="4:7">
      <c r="D66" s="1"/>
      <c r="E66" s="1"/>
      <c r="F66" s="1"/>
    </row>
    <row r="67" spans="4:7">
      <c r="D67" s="1"/>
      <c r="E67" s="1"/>
      <c r="F67" s="1"/>
    </row>
    <row r="68" spans="4:7">
      <c r="D68" s="1"/>
      <c r="E68" s="1"/>
      <c r="F68" s="1"/>
    </row>
    <row r="69" spans="4:7" ht="13">
      <c r="D69" s="4"/>
      <c r="E69" s="4"/>
      <c r="F69" s="4"/>
      <c r="G69" s="4"/>
    </row>
    <row r="70" spans="4:7">
      <c r="D70" s="1"/>
      <c r="E70" s="1"/>
      <c r="F70" s="1"/>
    </row>
    <row r="71" spans="4:7">
      <c r="D71" s="1"/>
      <c r="E71" s="1"/>
      <c r="F71" s="1"/>
    </row>
  </sheetData>
  <phoneticPr fontId="4" type="noConversion"/>
  <pageMargins left="0.78740157499999996" right="0.57999999999999996" top="0.984251969" bottom="0.984251969" header="0.4921259845" footer="0.4921259845"/>
  <pageSetup paperSize="9" orientation="portrait" r:id="rId1"/>
  <headerFooter alignWithMargins="0">
    <oddHeader>&amp;CMW 24.10.2014: Grundlagen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54"/>
  <sheetViews>
    <sheetView tabSelected="1" zoomScale="115" zoomScaleNormal="115" workbookViewId="0">
      <selection activeCell="I48" sqref="I48"/>
    </sheetView>
  </sheetViews>
  <sheetFormatPr baseColWidth="10" defaultRowHeight="12.5"/>
  <cols>
    <col min="1" max="1" width="31.453125" customWidth="1"/>
    <col min="2" max="2" width="4.453125" customWidth="1"/>
    <col min="3" max="3" width="7.26953125" customWidth="1"/>
    <col min="4" max="7" width="7.7265625" customWidth="1"/>
    <col min="8" max="8" width="20.54296875" customWidth="1"/>
  </cols>
  <sheetData>
    <row r="1" spans="1:8">
      <c r="A1" t="s">
        <v>71</v>
      </c>
    </row>
    <row r="2" spans="1:8">
      <c r="A2" t="s">
        <v>74</v>
      </c>
    </row>
    <row r="3" spans="1:8">
      <c r="A3" t="s">
        <v>76</v>
      </c>
    </row>
    <row r="4" spans="1:8">
      <c r="D4" s="2" t="s">
        <v>1</v>
      </c>
      <c r="E4" s="2" t="s">
        <v>3</v>
      </c>
      <c r="F4" s="2" t="s">
        <v>2</v>
      </c>
      <c r="G4" s="3" t="s">
        <v>0</v>
      </c>
      <c r="H4" s="8"/>
    </row>
    <row r="5" spans="1:8" ht="13">
      <c r="A5" s="11" t="s">
        <v>29</v>
      </c>
      <c r="G5" s="1"/>
    </row>
    <row r="6" spans="1:8" ht="13">
      <c r="A6" t="s">
        <v>38</v>
      </c>
      <c r="C6" t="s">
        <v>12</v>
      </c>
      <c r="D6" s="16">
        <v>0.24</v>
      </c>
      <c r="E6" s="16">
        <v>0.24</v>
      </c>
      <c r="F6" s="16">
        <v>0.24</v>
      </c>
      <c r="G6" s="16">
        <v>0.24</v>
      </c>
    </row>
    <row r="7" spans="1:8">
      <c r="A7" t="s">
        <v>6</v>
      </c>
      <c r="C7" t="s">
        <v>12</v>
      </c>
      <c r="D7" s="9">
        <v>15</v>
      </c>
      <c r="E7" s="9">
        <v>15</v>
      </c>
      <c r="F7" s="9">
        <v>15</v>
      </c>
      <c r="G7" s="9">
        <v>15</v>
      </c>
    </row>
    <row r="8" spans="1:8" ht="13">
      <c r="A8" t="s">
        <v>30</v>
      </c>
      <c r="B8" s="18" t="s">
        <v>84</v>
      </c>
      <c r="C8" t="s">
        <v>12</v>
      </c>
      <c r="D8" s="16">
        <v>4.96</v>
      </c>
      <c r="E8" s="16">
        <v>4.96</v>
      </c>
      <c r="F8" s="16">
        <v>4.96</v>
      </c>
      <c r="G8" s="16">
        <v>4.96</v>
      </c>
    </row>
    <row r="9" spans="1:8" ht="13">
      <c r="A9" t="s">
        <v>31</v>
      </c>
      <c r="C9" t="s">
        <v>57</v>
      </c>
      <c r="D9" s="16">
        <v>0.5</v>
      </c>
      <c r="E9" s="16">
        <v>0.5</v>
      </c>
      <c r="F9" s="16">
        <v>0.5</v>
      </c>
      <c r="G9" s="16">
        <v>0.5</v>
      </c>
    </row>
    <row r="10" spans="1:8">
      <c r="G10" s="1"/>
    </row>
    <row r="11" spans="1:8" ht="13">
      <c r="A11" s="15" t="s">
        <v>26</v>
      </c>
      <c r="B11" s="6"/>
      <c r="C11" s="6"/>
      <c r="D11" s="7"/>
      <c r="E11" s="7"/>
      <c r="F11" s="7"/>
      <c r="G11" s="7"/>
    </row>
    <row r="12" spans="1:8" ht="13">
      <c r="A12" t="s">
        <v>25</v>
      </c>
      <c r="C12" t="s">
        <v>132</v>
      </c>
      <c r="D12" s="17">
        <v>4.5999999999999996</v>
      </c>
      <c r="E12" s="17">
        <v>6.5</v>
      </c>
      <c r="F12" s="17">
        <v>6.5</v>
      </c>
      <c r="G12" s="17">
        <v>6.5</v>
      </c>
    </row>
    <row r="13" spans="1:8">
      <c r="C13" t="s">
        <v>8</v>
      </c>
      <c r="D13" s="1">
        <f>D12*D9*D8</f>
        <v>11.407999999999999</v>
      </c>
      <c r="E13">
        <f>E12*E9*E8</f>
        <v>16.12</v>
      </c>
      <c r="F13">
        <f>F12*F9*F8</f>
        <v>16.12</v>
      </c>
      <c r="G13">
        <f>G12*G9*G8</f>
        <v>16.12</v>
      </c>
    </row>
    <row r="14" spans="1:8" ht="13">
      <c r="A14" s="15" t="s">
        <v>24</v>
      </c>
      <c r="B14" s="6"/>
      <c r="C14" s="6"/>
      <c r="D14" s="7"/>
      <c r="E14" s="7"/>
      <c r="F14" s="7"/>
      <c r="G14" s="7"/>
    </row>
    <row r="15" spans="1:8" ht="13">
      <c r="A15" t="s">
        <v>11</v>
      </c>
      <c r="B15" t="s">
        <v>80</v>
      </c>
      <c r="C15" t="s">
        <v>12</v>
      </c>
      <c r="D15" s="17">
        <v>0.24</v>
      </c>
      <c r="E15" s="17">
        <v>0.24</v>
      </c>
      <c r="F15" s="17">
        <v>0.24</v>
      </c>
      <c r="G15" s="17">
        <v>0.24</v>
      </c>
    </row>
    <row r="16" spans="1:8" ht="13">
      <c r="A16" t="s">
        <v>10</v>
      </c>
      <c r="C16" t="s">
        <v>12</v>
      </c>
      <c r="D16" s="17">
        <v>2.62</v>
      </c>
      <c r="E16" s="17">
        <v>2.6749999999999998</v>
      </c>
      <c r="F16" s="17">
        <v>2.6749999999999998</v>
      </c>
      <c r="G16" s="17">
        <v>2.6749999999999998</v>
      </c>
    </row>
    <row r="17" spans="1:7" ht="13">
      <c r="A17" t="s">
        <v>14</v>
      </c>
      <c r="C17" t="s">
        <v>107</v>
      </c>
      <c r="D17" s="17">
        <v>20</v>
      </c>
      <c r="E17" s="17">
        <v>20</v>
      </c>
      <c r="F17" s="17">
        <v>20</v>
      </c>
      <c r="G17" s="17">
        <v>20</v>
      </c>
    </row>
    <row r="18" spans="1:7">
      <c r="C18" t="s">
        <v>132</v>
      </c>
      <c r="D18" s="1">
        <f t="shared" ref="D18:G19" si="0">D17*D15</f>
        <v>4.8</v>
      </c>
      <c r="E18" s="1">
        <f t="shared" si="0"/>
        <v>4.8</v>
      </c>
      <c r="F18" s="1">
        <f t="shared" si="0"/>
        <v>4.8</v>
      </c>
      <c r="G18" s="1">
        <f t="shared" si="0"/>
        <v>4.8</v>
      </c>
    </row>
    <row r="19" spans="1:7">
      <c r="C19" t="s">
        <v>8</v>
      </c>
      <c r="D19" s="1">
        <f t="shared" si="0"/>
        <v>12.576000000000001</v>
      </c>
      <c r="E19" s="1">
        <f t="shared" si="0"/>
        <v>12.839999999999998</v>
      </c>
      <c r="F19" s="1">
        <f t="shared" si="0"/>
        <v>12.839999999999998</v>
      </c>
      <c r="G19" s="1">
        <f t="shared" si="0"/>
        <v>12.839999999999998</v>
      </c>
    </row>
    <row r="20" spans="1:7" ht="13">
      <c r="A20" t="s">
        <v>15</v>
      </c>
      <c r="C20" t="s">
        <v>132</v>
      </c>
      <c r="D20" s="17">
        <v>0.5</v>
      </c>
      <c r="E20" s="17">
        <v>0.5</v>
      </c>
      <c r="F20" s="17">
        <v>0.5</v>
      </c>
      <c r="G20" s="17">
        <v>0.5</v>
      </c>
    </row>
    <row r="21" spans="1:7">
      <c r="C21" t="s">
        <v>8</v>
      </c>
      <c r="D21" s="1">
        <f>D20*D16</f>
        <v>1.31</v>
      </c>
      <c r="E21" s="1">
        <f>E20*E16</f>
        <v>1.3374999999999999</v>
      </c>
      <c r="F21" s="1">
        <f>F20*F16</f>
        <v>1.3374999999999999</v>
      </c>
      <c r="G21" s="1">
        <f>G20*G16</f>
        <v>1.3374999999999999</v>
      </c>
    </row>
    <row r="22" spans="1:7">
      <c r="A22" t="s">
        <v>16</v>
      </c>
      <c r="C22" t="s">
        <v>8</v>
      </c>
      <c r="D22" s="1">
        <f>D19+D21</f>
        <v>13.886000000000001</v>
      </c>
      <c r="E22" s="1">
        <f>E19+E21</f>
        <v>14.177499999999998</v>
      </c>
      <c r="F22" s="1">
        <f>F19+F21</f>
        <v>14.177499999999998</v>
      </c>
      <c r="G22" s="1">
        <f>G19+G21</f>
        <v>14.177499999999998</v>
      </c>
    </row>
    <row r="23" spans="1:7" s="6" customFormat="1">
      <c r="A23" s="6" t="s">
        <v>35</v>
      </c>
      <c r="G23" s="7"/>
    </row>
    <row r="24" spans="1:7">
      <c r="A24" t="s">
        <v>32</v>
      </c>
      <c r="C24" t="s">
        <v>8</v>
      </c>
      <c r="D24" s="1">
        <f>D13</f>
        <v>11.407999999999999</v>
      </c>
      <c r="E24" s="1">
        <f>D26+E13</f>
        <v>41.414000000000001</v>
      </c>
      <c r="F24" s="1">
        <f>E26+F13</f>
        <v>71.711500000000001</v>
      </c>
      <c r="G24" s="1">
        <f>F26+G13</f>
        <v>102.009</v>
      </c>
    </row>
    <row r="25" spans="1:7">
      <c r="A25" t="s">
        <v>33</v>
      </c>
      <c r="C25" t="s">
        <v>8</v>
      </c>
      <c r="D25" s="1">
        <f>D24+D22/2</f>
        <v>18.350999999999999</v>
      </c>
      <c r="E25" s="1">
        <f>E24+E22/2</f>
        <v>48.502749999999999</v>
      </c>
      <c r="F25" s="1">
        <f>F24+F22/2</f>
        <v>78.800250000000005</v>
      </c>
      <c r="G25" s="1">
        <f>G24+G22/2</f>
        <v>109.09775</v>
      </c>
    </row>
    <row r="26" spans="1:7">
      <c r="A26" t="s">
        <v>34</v>
      </c>
      <c r="C26" t="s">
        <v>8</v>
      </c>
      <c r="D26" s="1">
        <f>D24+D22</f>
        <v>25.294</v>
      </c>
      <c r="E26" s="1">
        <f>E24+E22</f>
        <v>55.591499999999996</v>
      </c>
      <c r="F26" s="1">
        <f>F24+F22</f>
        <v>85.888999999999996</v>
      </c>
      <c r="G26" s="1">
        <f>G24+G22</f>
        <v>116.1865</v>
      </c>
    </row>
    <row r="27" spans="1:7" ht="13">
      <c r="A27" t="s">
        <v>20</v>
      </c>
      <c r="D27" s="17">
        <v>1.35</v>
      </c>
      <c r="E27" s="17">
        <v>1.35</v>
      </c>
      <c r="F27" s="17">
        <v>1.35</v>
      </c>
      <c r="G27" s="17">
        <v>1.35</v>
      </c>
    </row>
    <row r="28" spans="1:7" ht="13">
      <c r="A28" s="15" t="s">
        <v>27</v>
      </c>
      <c r="B28" s="6"/>
      <c r="C28" s="6"/>
      <c r="D28" s="7"/>
      <c r="E28" s="7"/>
      <c r="F28" s="7"/>
      <c r="G28" s="7"/>
    </row>
    <row r="29" spans="1:7" ht="13">
      <c r="A29" t="s">
        <v>25</v>
      </c>
      <c r="C29" t="s">
        <v>132</v>
      </c>
      <c r="D29" s="17">
        <v>0</v>
      </c>
      <c r="E29" s="17">
        <v>3.2</v>
      </c>
      <c r="F29" s="17">
        <v>3.2</v>
      </c>
      <c r="G29" s="17">
        <v>3.2</v>
      </c>
    </row>
    <row r="30" spans="1:7">
      <c r="A30" t="s">
        <v>36</v>
      </c>
      <c r="C30" t="s">
        <v>8</v>
      </c>
      <c r="D30" s="1">
        <f>D29*D8*D9</f>
        <v>0</v>
      </c>
      <c r="E30" s="1">
        <f>E29*E8*E9</f>
        <v>7.9359999999999999</v>
      </c>
      <c r="F30" s="1">
        <f>F29*F8*F9</f>
        <v>7.9359999999999999</v>
      </c>
      <c r="G30" s="1">
        <f>G29*G8*G9</f>
        <v>7.9359999999999999</v>
      </c>
    </row>
    <row r="31" spans="1:7">
      <c r="A31" t="s">
        <v>37</v>
      </c>
      <c r="C31" t="s">
        <v>8</v>
      </c>
      <c r="D31" s="1">
        <f>D30</f>
        <v>0</v>
      </c>
      <c r="E31" s="1">
        <f>D31+E30</f>
        <v>7.9359999999999999</v>
      </c>
      <c r="F31" s="1">
        <f>E31+F30</f>
        <v>15.872</v>
      </c>
      <c r="G31" s="1">
        <f>F31+G30</f>
        <v>23.808</v>
      </c>
    </row>
    <row r="32" spans="1:7" ht="13">
      <c r="A32" t="s">
        <v>20</v>
      </c>
      <c r="D32" s="17">
        <v>1.5</v>
      </c>
      <c r="E32" s="17">
        <v>1.5</v>
      </c>
      <c r="F32" s="17">
        <v>1.5</v>
      </c>
      <c r="G32" s="17">
        <v>1.5</v>
      </c>
    </row>
    <row r="33" spans="1:8" s="6" customFormat="1" ht="13">
      <c r="A33" s="15" t="s">
        <v>39</v>
      </c>
      <c r="D33" s="7"/>
      <c r="E33" s="7"/>
      <c r="F33" s="7"/>
      <c r="G33" s="12"/>
    </row>
    <row r="34" spans="1:8">
      <c r="A34" t="s">
        <v>32</v>
      </c>
      <c r="C34" t="s">
        <v>8</v>
      </c>
      <c r="D34" s="14">
        <f>D24*D27+D31*D32</f>
        <v>15.4008</v>
      </c>
      <c r="E34" s="14">
        <f t="shared" ref="E34:F34" si="1">E24*E27+E31*E32</f>
        <v>67.812899999999999</v>
      </c>
      <c r="F34" s="14">
        <f t="shared" si="1"/>
        <v>120.61852500000001</v>
      </c>
      <c r="G34" s="14">
        <f>G24*G27+G31*G32</f>
        <v>173.42415</v>
      </c>
    </row>
    <row r="35" spans="1:8">
      <c r="A35" t="s">
        <v>33</v>
      </c>
      <c r="C35" t="s">
        <v>8</v>
      </c>
      <c r="D35" s="14">
        <f t="shared" ref="D35:F35" si="2">D25*D27+D31*D32</f>
        <v>24.773849999999999</v>
      </c>
      <c r="E35" s="14">
        <f t="shared" si="2"/>
        <v>77.382712499999997</v>
      </c>
      <c r="F35" s="14">
        <f t="shared" si="2"/>
        <v>130.18833750000002</v>
      </c>
      <c r="G35" s="14">
        <f>G25*G27+G31*G32</f>
        <v>182.99396250000001</v>
      </c>
    </row>
    <row r="36" spans="1:8">
      <c r="A36" t="s">
        <v>34</v>
      </c>
      <c r="C36" t="s">
        <v>8</v>
      </c>
      <c r="D36" s="14">
        <f t="shared" ref="D36:F36" si="3">D26*D27+D31*D32</f>
        <v>34.146900000000002</v>
      </c>
      <c r="E36" s="14">
        <f t="shared" si="3"/>
        <v>86.952524999999994</v>
      </c>
      <c r="F36" s="14">
        <f t="shared" si="3"/>
        <v>139.75815</v>
      </c>
      <c r="G36" s="14">
        <f>G26*G27+G31*G32</f>
        <v>192.56377500000002</v>
      </c>
    </row>
    <row r="37" spans="1:8" s="6" customFormat="1" ht="13">
      <c r="A37" s="15" t="s">
        <v>22</v>
      </c>
      <c r="G37" s="7"/>
    </row>
    <row r="38" spans="1:8" ht="13">
      <c r="A38" t="s">
        <v>19</v>
      </c>
      <c r="B38" t="s">
        <v>87</v>
      </c>
      <c r="C38" s="18" t="s">
        <v>150</v>
      </c>
      <c r="G38" s="21">
        <v>7.2</v>
      </c>
      <c r="H38" s="23" t="s">
        <v>75</v>
      </c>
    </row>
    <row r="39" spans="1:8" ht="13">
      <c r="A39" t="s">
        <v>20</v>
      </c>
      <c r="B39" t="s">
        <v>67</v>
      </c>
      <c r="C39" t="s">
        <v>57</v>
      </c>
      <c r="G39" s="17">
        <v>1.5</v>
      </c>
      <c r="H39" s="5" t="s">
        <v>77</v>
      </c>
    </row>
    <row r="40" spans="1:8" ht="13">
      <c r="A40" t="s">
        <v>21</v>
      </c>
      <c r="B40" t="s">
        <v>66</v>
      </c>
      <c r="C40" t="s">
        <v>57</v>
      </c>
      <c r="G40" s="17">
        <v>0.85</v>
      </c>
      <c r="H40" s="5" t="s">
        <v>95</v>
      </c>
    </row>
    <row r="41" spans="1:8">
      <c r="A41" t="s">
        <v>40</v>
      </c>
      <c r="B41" t="s">
        <v>63</v>
      </c>
      <c r="C41" s="18" t="s">
        <v>150</v>
      </c>
      <c r="D41" s="9">
        <f t="shared" ref="D41:E41" si="4">E41</f>
        <v>4.08</v>
      </c>
      <c r="E41" s="9">
        <f t="shared" si="4"/>
        <v>4.08</v>
      </c>
      <c r="F41" s="9">
        <f>G41</f>
        <v>4.08</v>
      </c>
      <c r="G41" s="9">
        <f>G38/G39*G40</f>
        <v>4.08</v>
      </c>
      <c r="H41" s="9"/>
    </row>
    <row r="42" spans="1:8">
      <c r="A42" t="s">
        <v>73</v>
      </c>
      <c r="B42" s="18" t="s">
        <v>85</v>
      </c>
      <c r="C42" t="s">
        <v>12</v>
      </c>
      <c r="D42" s="23">
        <f t="shared" ref="D42:F42" si="5">D16</f>
        <v>2.62</v>
      </c>
      <c r="E42" s="23">
        <f t="shared" si="5"/>
        <v>2.6749999999999998</v>
      </c>
      <c r="F42" s="23">
        <f t="shared" si="5"/>
        <v>2.6749999999999998</v>
      </c>
      <c r="G42" s="23">
        <f>G16</f>
        <v>2.6749999999999998</v>
      </c>
    </row>
    <row r="43" spans="1:8" ht="13">
      <c r="A43" t="s">
        <v>81</v>
      </c>
      <c r="B43" t="s">
        <v>82</v>
      </c>
      <c r="C43" t="s">
        <v>12</v>
      </c>
      <c r="D43" s="17">
        <v>0.18</v>
      </c>
      <c r="E43" s="17">
        <v>0.18</v>
      </c>
      <c r="F43" s="17">
        <v>0.18</v>
      </c>
      <c r="G43" s="17">
        <v>0.18</v>
      </c>
    </row>
    <row r="44" spans="1:8">
      <c r="A44" t="s">
        <v>21</v>
      </c>
      <c r="B44" t="s">
        <v>70</v>
      </c>
      <c r="C44" t="s">
        <v>57</v>
      </c>
      <c r="D44" s="63">
        <v>0.33300000000000002</v>
      </c>
      <c r="E44" s="1">
        <f t="shared" ref="E44:F44" si="6">MIN(1.6-E8/6,0.9*E43/E15)</f>
        <v>0.67500000000000004</v>
      </c>
      <c r="F44" s="1">
        <f t="shared" si="6"/>
        <v>0.67500000000000004</v>
      </c>
      <c r="G44" s="1">
        <f>MIN(1.6-G8/6,0.9*G43/G15)</f>
        <v>0.67500000000000004</v>
      </c>
      <c r="H44" s="23" t="s">
        <v>83</v>
      </c>
    </row>
    <row r="45" spans="1:8">
      <c r="A45" t="s">
        <v>21</v>
      </c>
      <c r="B45" t="s">
        <v>72</v>
      </c>
      <c r="C45" s="13" t="s">
        <v>57</v>
      </c>
      <c r="D45" s="1">
        <f t="shared" ref="D45:F45" si="7">0.85*D43/D6-0.0011*D42^2/D15^2</f>
        <v>0.50640902777777785</v>
      </c>
      <c r="E45" s="1">
        <f t="shared" si="7"/>
        <v>0.50084743923611119</v>
      </c>
      <c r="F45" s="1">
        <f t="shared" si="7"/>
        <v>0.50084743923611119</v>
      </c>
      <c r="G45" s="1">
        <f>0.85*G43/G6-0.0011*G42^2/G15^2</f>
        <v>0.50084743923611119</v>
      </c>
      <c r="H45" s="23" t="s">
        <v>86</v>
      </c>
    </row>
    <row r="46" spans="1:8" ht="15.5">
      <c r="A46" s="18" t="s">
        <v>134</v>
      </c>
      <c r="B46" t="s">
        <v>137</v>
      </c>
      <c r="C46" t="s">
        <v>8</v>
      </c>
      <c r="D46" s="14">
        <f>D44*D41*D6*1000</f>
        <v>326.0736</v>
      </c>
      <c r="E46" s="14">
        <f t="shared" ref="E46:F46" si="8">E44*E41*E6*1000</f>
        <v>660.96000000000015</v>
      </c>
      <c r="F46" s="14">
        <f t="shared" si="8"/>
        <v>660.96000000000015</v>
      </c>
      <c r="G46" s="14">
        <f>G44*G41*G6*1000</f>
        <v>660.96000000000015</v>
      </c>
    </row>
    <row r="47" spans="1:8" ht="15.5">
      <c r="A47" s="18" t="s">
        <v>135</v>
      </c>
      <c r="B47" t="s">
        <v>138</v>
      </c>
      <c r="C47" t="s">
        <v>8</v>
      </c>
      <c r="D47" s="14">
        <f>D45*D41*D6*1000</f>
        <v>495.87572</v>
      </c>
      <c r="E47" s="14">
        <f t="shared" ref="E47:F47" si="9">E45*E41*E6*1000</f>
        <v>490.42981250000014</v>
      </c>
      <c r="F47" s="14">
        <f t="shared" si="9"/>
        <v>490.42981250000014</v>
      </c>
      <c r="G47" s="14">
        <f>G45*G41*G6*1000</f>
        <v>490.42981250000014</v>
      </c>
    </row>
    <row r="48" spans="1:8" ht="15.5">
      <c r="A48" s="18" t="s">
        <v>136</v>
      </c>
      <c r="B48" t="s">
        <v>137</v>
      </c>
      <c r="C48" t="s">
        <v>8</v>
      </c>
      <c r="D48" s="14">
        <f>D46</f>
        <v>326.0736</v>
      </c>
      <c r="E48" s="14">
        <f t="shared" ref="E48:G48" si="10">E46</f>
        <v>660.96000000000015</v>
      </c>
      <c r="F48" s="14">
        <f t="shared" si="10"/>
        <v>660.96000000000015</v>
      </c>
      <c r="G48" s="14">
        <f t="shared" si="10"/>
        <v>660.96000000000015</v>
      </c>
    </row>
    <row r="49" spans="1:7">
      <c r="A49" s="18" t="s">
        <v>139</v>
      </c>
      <c r="B49" s="44" t="s">
        <v>51</v>
      </c>
      <c r="D49" s="64">
        <f t="shared" ref="D49:F51" si="11">D34/D46</f>
        <v>4.7231054583995763E-2</v>
      </c>
      <c r="E49" s="64">
        <f t="shared" si="11"/>
        <v>0.10259758533042844</v>
      </c>
      <c r="F49" s="64">
        <f t="shared" si="11"/>
        <v>0.18248990105301377</v>
      </c>
      <c r="G49" s="64">
        <f>G34/G46</f>
        <v>0.26238221677559909</v>
      </c>
    </row>
    <row r="50" spans="1:7">
      <c r="A50" s="18" t="s">
        <v>140</v>
      </c>
      <c r="B50" s="44" t="s">
        <v>51</v>
      </c>
      <c r="D50" s="64">
        <f t="shared" si="11"/>
        <v>4.995979637801181E-2</v>
      </c>
      <c r="E50" s="64">
        <f t="shared" si="11"/>
        <v>0.15778549861301502</v>
      </c>
      <c r="F50" s="64">
        <f t="shared" si="11"/>
        <v>0.26545763365476477</v>
      </c>
      <c r="G50" s="64">
        <f t="shared" ref="G50:G51" si="12">G35/G47</f>
        <v>0.37312976869651449</v>
      </c>
    </row>
    <row r="51" spans="1:7">
      <c r="A51" s="102" t="s">
        <v>664</v>
      </c>
      <c r="B51" s="44" t="s">
        <v>51</v>
      </c>
      <c r="D51" s="64">
        <f t="shared" si="11"/>
        <v>0.10472144939056705</v>
      </c>
      <c r="E51" s="64">
        <f t="shared" si="11"/>
        <v>0.13155489742193169</v>
      </c>
      <c r="F51" s="64">
        <f t="shared" si="11"/>
        <v>0.21144721314451703</v>
      </c>
      <c r="G51" s="64">
        <f t="shared" si="12"/>
        <v>0.29133952886710235</v>
      </c>
    </row>
    <row r="54" spans="1:7" ht="15">
      <c r="A54" s="65" t="s">
        <v>337</v>
      </c>
    </row>
  </sheetData>
  <phoneticPr fontId="4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Header>&amp;CMW 07.11.2013: Lastexzentriztitäten, vereinf. Verfahren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8"/>
  <dimension ref="A1:J97"/>
  <sheetViews>
    <sheetView topLeftCell="A15" zoomScale="115" zoomScaleNormal="115" workbookViewId="0">
      <selection activeCell="I79" sqref="I79"/>
    </sheetView>
  </sheetViews>
  <sheetFormatPr baseColWidth="10" defaultRowHeight="12.5"/>
  <cols>
    <col min="1" max="1" width="23.1796875" customWidth="1"/>
    <col min="2" max="2" width="6" customWidth="1"/>
    <col min="3" max="3" width="8.1796875" customWidth="1"/>
    <col min="4" max="6" width="7.7265625" customWidth="1"/>
    <col min="7" max="7" width="9.7265625" customWidth="1"/>
    <col min="8" max="8" width="2" customWidth="1"/>
    <col min="9" max="9" width="19.81640625" customWidth="1"/>
  </cols>
  <sheetData>
    <row r="1" spans="1:10">
      <c r="A1" t="s">
        <v>71</v>
      </c>
    </row>
    <row r="2" spans="1:10">
      <c r="A2" t="s">
        <v>74</v>
      </c>
    </row>
    <row r="3" spans="1:10">
      <c r="A3" t="s">
        <v>76</v>
      </c>
    </row>
    <row r="4" spans="1:10">
      <c r="D4" s="2" t="s">
        <v>1</v>
      </c>
      <c r="E4" s="2" t="s">
        <v>3</v>
      </c>
      <c r="F4" s="2" t="s">
        <v>2</v>
      </c>
      <c r="G4" s="3" t="s">
        <v>0</v>
      </c>
      <c r="H4" s="3"/>
      <c r="I4" s="8"/>
    </row>
    <row r="5" spans="1:10" ht="13">
      <c r="A5" s="11" t="s">
        <v>248</v>
      </c>
      <c r="G5" s="1"/>
      <c r="H5" s="1"/>
    </row>
    <row r="6" spans="1:10">
      <c r="A6" t="s">
        <v>38</v>
      </c>
      <c r="B6" s="18" t="s">
        <v>80</v>
      </c>
      <c r="C6" t="s">
        <v>12</v>
      </c>
      <c r="D6" s="75">
        <f>'Vereinfachtes Verfahren S6'!D6</f>
        <v>0.24</v>
      </c>
      <c r="E6" s="75">
        <f>'Vereinfachtes Verfahren S6'!E6</f>
        <v>0.24</v>
      </c>
      <c r="F6" s="75">
        <f>'Vereinfachtes Verfahren S6'!F6</f>
        <v>0.24</v>
      </c>
      <c r="G6" s="75">
        <f>'Vereinfachtes Verfahren S6'!G6</f>
        <v>0.24</v>
      </c>
      <c r="H6" s="75"/>
      <c r="I6" t="s">
        <v>249</v>
      </c>
    </row>
    <row r="7" spans="1:10">
      <c r="A7" t="s">
        <v>30</v>
      </c>
      <c r="C7" t="s">
        <v>12</v>
      </c>
      <c r="D7" s="75">
        <f>'Vereinfachtes Verfahren S6'!D8</f>
        <v>4.96</v>
      </c>
      <c r="E7" s="75">
        <f>'Vereinfachtes Verfahren S6'!E8</f>
        <v>4.96</v>
      </c>
      <c r="F7" s="75">
        <f>'Vereinfachtes Verfahren S6'!F8</f>
        <v>4.96</v>
      </c>
      <c r="G7" s="75">
        <f>'Vereinfachtes Verfahren S6'!G8</f>
        <v>4.96</v>
      </c>
      <c r="H7" s="75"/>
      <c r="I7" t="s">
        <v>249</v>
      </c>
    </row>
    <row r="8" spans="1:10">
      <c r="A8" t="s">
        <v>31</v>
      </c>
      <c r="D8" s="75">
        <f>'Vereinfachtes Verfahren S6'!D9</f>
        <v>0.5</v>
      </c>
      <c r="E8" s="75">
        <f>'Vereinfachtes Verfahren S6'!E9</f>
        <v>0.5</v>
      </c>
      <c r="F8" s="75">
        <f>'Vereinfachtes Verfahren S6'!F9</f>
        <v>0.5</v>
      </c>
      <c r="G8" s="75">
        <f>'Vereinfachtes Verfahren S6'!G9</f>
        <v>0.5</v>
      </c>
      <c r="H8" s="75"/>
      <c r="I8" t="s">
        <v>249</v>
      </c>
    </row>
    <row r="9" spans="1:10">
      <c r="G9" s="1"/>
      <c r="H9" s="1"/>
    </row>
    <row r="10" spans="1:10" s="6" customFormat="1">
      <c r="A10" s="6" t="s">
        <v>26</v>
      </c>
      <c r="D10" s="7"/>
      <c r="E10" s="7"/>
      <c r="F10" s="7"/>
      <c r="G10" s="7"/>
      <c r="H10" s="7"/>
    </row>
    <row r="11" spans="1:10">
      <c r="A11" t="s">
        <v>25</v>
      </c>
      <c r="C11" t="s">
        <v>132</v>
      </c>
      <c r="D11" s="19">
        <f>'Vereinfachtes Verfahren S6'!D12</f>
        <v>4.5999999999999996</v>
      </c>
      <c r="E11" s="19">
        <f>'Vereinfachtes Verfahren S6'!E12</f>
        <v>6.5</v>
      </c>
      <c r="F11" s="19">
        <f>'Vereinfachtes Verfahren S6'!F12</f>
        <v>6.5</v>
      </c>
      <c r="G11" s="19">
        <f>'Vereinfachtes Verfahren S6'!G12</f>
        <v>6.5</v>
      </c>
      <c r="H11" s="19"/>
      <c r="I11" t="s">
        <v>249</v>
      </c>
    </row>
    <row r="12" spans="1:10">
      <c r="C12" t="s">
        <v>8</v>
      </c>
      <c r="D12" s="1">
        <f>D11*D8*D7</f>
        <v>11.407999999999999</v>
      </c>
      <c r="E12" s="1">
        <f>E11*E8*E7</f>
        <v>16.12</v>
      </c>
      <c r="F12" s="1">
        <f>F11*F8*F7</f>
        <v>16.12</v>
      </c>
      <c r="G12" s="1">
        <f>G11*G8*G7</f>
        <v>16.12</v>
      </c>
      <c r="H12" s="1"/>
    </row>
    <row r="13" spans="1:10" s="6" customFormat="1">
      <c r="A13" s="6" t="s">
        <v>24</v>
      </c>
      <c r="D13" s="7"/>
      <c r="E13" s="7"/>
      <c r="F13" s="7"/>
      <c r="G13" s="7"/>
      <c r="H13" s="7"/>
    </row>
    <row r="14" spans="1:10">
      <c r="A14" t="s">
        <v>10</v>
      </c>
      <c r="B14" s="18" t="s">
        <v>51</v>
      </c>
      <c r="C14" t="s">
        <v>12</v>
      </c>
      <c r="D14" s="19">
        <f>'Vereinfachtes Verfahren S6'!D16</f>
        <v>2.62</v>
      </c>
      <c r="E14" s="19">
        <f>'Vereinfachtes Verfahren S6'!E16</f>
        <v>2.6749999999999998</v>
      </c>
      <c r="F14" s="19">
        <f>'Vereinfachtes Verfahren S6'!F16</f>
        <v>2.6749999999999998</v>
      </c>
      <c r="G14" s="19">
        <f>'Vereinfachtes Verfahren S6'!G16</f>
        <v>2.6749999999999998</v>
      </c>
      <c r="H14" s="19"/>
      <c r="I14" t="s">
        <v>249</v>
      </c>
    </row>
    <row r="15" spans="1:10">
      <c r="A15" t="s">
        <v>16</v>
      </c>
      <c r="C15" t="s">
        <v>8</v>
      </c>
      <c r="D15" s="1">
        <f>'Vereinfachtes Verfahren S6'!D22</f>
        <v>13.886000000000001</v>
      </c>
      <c r="E15" s="1">
        <f>'Vereinfachtes Verfahren S6'!E22</f>
        <v>14.177499999999998</v>
      </c>
      <c r="F15" s="1">
        <f>'Vereinfachtes Verfahren S6'!F22</f>
        <v>14.177499999999998</v>
      </c>
      <c r="G15" s="1">
        <f>'Vereinfachtes Verfahren S6'!G22</f>
        <v>14.177499999999998</v>
      </c>
      <c r="H15" s="1"/>
      <c r="I15" t="s">
        <v>249</v>
      </c>
    </row>
    <row r="16" spans="1:10">
      <c r="A16" s="6" t="s">
        <v>35</v>
      </c>
      <c r="B16" s="6"/>
      <c r="C16" s="6"/>
      <c r="D16" s="6"/>
      <c r="E16" s="6"/>
      <c r="F16" s="6"/>
      <c r="G16" s="7"/>
      <c r="H16" s="7"/>
      <c r="I16" s="6"/>
      <c r="J16" s="6"/>
    </row>
    <row r="17" spans="1:9">
      <c r="A17" t="s">
        <v>32</v>
      </c>
      <c r="C17" t="s">
        <v>8</v>
      </c>
      <c r="D17" s="1">
        <f>D12</f>
        <v>11.407999999999999</v>
      </c>
      <c r="E17" s="1">
        <f>D19+E12</f>
        <v>41.414000000000001</v>
      </c>
      <c r="F17" s="1">
        <f>E19+F12</f>
        <v>71.711500000000001</v>
      </c>
      <c r="G17" s="1">
        <f>F19+G12</f>
        <v>102.009</v>
      </c>
      <c r="H17" s="1"/>
    </row>
    <row r="18" spans="1:9">
      <c r="A18" t="s">
        <v>33</v>
      </c>
      <c r="C18" t="s">
        <v>8</v>
      </c>
      <c r="D18" s="1">
        <f>D17+D15/2</f>
        <v>18.350999999999999</v>
      </c>
      <c r="E18" s="1">
        <f>E17+E15/2</f>
        <v>48.502749999999999</v>
      </c>
      <c r="F18" s="1">
        <f>F17+F15/2</f>
        <v>78.800250000000005</v>
      </c>
      <c r="G18" s="1">
        <f>G17+G15/2</f>
        <v>109.09775</v>
      </c>
      <c r="H18" s="1"/>
    </row>
    <row r="19" spans="1:9">
      <c r="A19" t="s">
        <v>34</v>
      </c>
      <c r="C19" t="s">
        <v>8</v>
      </c>
      <c r="D19" s="1">
        <f>D17+D15</f>
        <v>25.294</v>
      </c>
      <c r="E19" s="1">
        <f>E17+E15</f>
        <v>55.591499999999996</v>
      </c>
      <c r="F19" s="1">
        <f>F17+F15</f>
        <v>85.888999999999996</v>
      </c>
      <c r="G19" s="1">
        <f>G17+G15</f>
        <v>116.1865</v>
      </c>
      <c r="H19" s="1"/>
    </row>
    <row r="20" spans="1:9">
      <c r="A20" t="s">
        <v>20</v>
      </c>
      <c r="D20" s="19">
        <f>'Vereinfachtes Verfahren S6'!D27</f>
        <v>1.35</v>
      </c>
      <c r="E20" s="19">
        <f>'Vereinfachtes Verfahren S6'!E27</f>
        <v>1.35</v>
      </c>
      <c r="F20" s="19">
        <f>'Vereinfachtes Verfahren S6'!F27</f>
        <v>1.35</v>
      </c>
      <c r="G20" s="19">
        <f>'Vereinfachtes Verfahren S6'!G27</f>
        <v>1.35</v>
      </c>
      <c r="H20" s="19"/>
      <c r="I20" t="s">
        <v>249</v>
      </c>
    </row>
    <row r="21" spans="1:9" s="6" customFormat="1">
      <c r="A21" s="6" t="s">
        <v>27</v>
      </c>
      <c r="D21" s="7"/>
      <c r="E21" s="7"/>
      <c r="F21" s="7"/>
      <c r="G21" s="7"/>
      <c r="H21" s="7"/>
    </row>
    <row r="22" spans="1:9">
      <c r="A22" t="s">
        <v>25</v>
      </c>
      <c r="C22" t="s">
        <v>132</v>
      </c>
      <c r="D22" s="19">
        <f>'Vereinfachtes Verfahren S6'!D29</f>
        <v>0</v>
      </c>
      <c r="E22" s="19">
        <f>'Vereinfachtes Verfahren S6'!E29</f>
        <v>3.2</v>
      </c>
      <c r="F22" s="19">
        <f>'Vereinfachtes Verfahren S6'!F29</f>
        <v>3.2</v>
      </c>
      <c r="G22" s="19">
        <f>'Vereinfachtes Verfahren S6'!G29</f>
        <v>3.2</v>
      </c>
      <c r="H22" s="19"/>
      <c r="I22" t="s">
        <v>249</v>
      </c>
    </row>
    <row r="23" spans="1:9">
      <c r="A23" t="s">
        <v>37</v>
      </c>
      <c r="C23" t="s">
        <v>8</v>
      </c>
      <c r="D23" s="1">
        <f>'Vereinfachtes Verfahren S6'!D31</f>
        <v>0</v>
      </c>
      <c r="E23" s="1">
        <f>'Vereinfachtes Verfahren S6'!E31</f>
        <v>7.9359999999999999</v>
      </c>
      <c r="F23" s="1">
        <f>'Vereinfachtes Verfahren S6'!F31</f>
        <v>15.872</v>
      </c>
      <c r="G23" s="1">
        <f>'Vereinfachtes Verfahren S6'!G31</f>
        <v>23.808</v>
      </c>
      <c r="H23" s="1"/>
      <c r="I23" t="s">
        <v>249</v>
      </c>
    </row>
    <row r="24" spans="1:9">
      <c r="A24" t="s">
        <v>20</v>
      </c>
      <c r="D24" s="19">
        <f>'Vereinfachtes Verfahren S6'!D32</f>
        <v>1.5</v>
      </c>
      <c r="E24" s="19">
        <f>'Vereinfachtes Verfahren S6'!E32</f>
        <v>1.5</v>
      </c>
      <c r="F24" s="19">
        <f>'Vereinfachtes Verfahren S6'!F32</f>
        <v>1.5</v>
      </c>
      <c r="G24" s="19">
        <f>'Vereinfachtes Verfahren S6'!G32</f>
        <v>1.5</v>
      </c>
      <c r="H24" s="19"/>
      <c r="I24" t="s">
        <v>249</v>
      </c>
    </row>
    <row r="25" spans="1:9" s="6" customFormat="1">
      <c r="A25" s="6" t="s">
        <v>39</v>
      </c>
      <c r="G25" s="7"/>
      <c r="H25" s="7"/>
    </row>
    <row r="26" spans="1:9" ht="13">
      <c r="A26" t="s">
        <v>32</v>
      </c>
      <c r="B26" t="s">
        <v>250</v>
      </c>
      <c r="C26" t="s">
        <v>8</v>
      </c>
      <c r="D26" s="76">
        <f t="shared" ref="D26:F26" si="0">D20*D17+D24*D23</f>
        <v>15.4008</v>
      </c>
      <c r="E26" s="76">
        <f t="shared" si="0"/>
        <v>67.812899999999999</v>
      </c>
      <c r="F26" s="76">
        <f t="shared" si="0"/>
        <v>120.61852500000001</v>
      </c>
      <c r="G26" s="76">
        <f>G20*G17+G24*G23</f>
        <v>173.42415</v>
      </c>
      <c r="H26" s="14"/>
    </row>
    <row r="27" spans="1:9" ht="13">
      <c r="A27" t="s">
        <v>33</v>
      </c>
      <c r="C27" t="s">
        <v>8</v>
      </c>
      <c r="D27" s="76">
        <f t="shared" ref="D27:F27" si="1">D18*D20+D23*D24</f>
        <v>24.773849999999999</v>
      </c>
      <c r="E27" s="76">
        <f t="shared" si="1"/>
        <v>77.382712499999997</v>
      </c>
      <c r="F27" s="76">
        <f t="shared" si="1"/>
        <v>130.18833750000002</v>
      </c>
      <c r="G27" s="76">
        <f>G18*G20+G23*G24</f>
        <v>182.99396250000001</v>
      </c>
      <c r="H27" s="14"/>
    </row>
    <row r="28" spans="1:9" ht="13">
      <c r="A28" t="s">
        <v>34</v>
      </c>
      <c r="B28" t="s">
        <v>251</v>
      </c>
      <c r="C28" t="s">
        <v>8</v>
      </c>
      <c r="D28" s="76">
        <f t="shared" ref="D28:F28" si="2">D19*D20+D23*D24</f>
        <v>34.146900000000002</v>
      </c>
      <c r="E28" s="76">
        <f t="shared" si="2"/>
        <v>86.952524999999994</v>
      </c>
      <c r="F28" s="76">
        <f t="shared" si="2"/>
        <v>139.75815</v>
      </c>
      <c r="G28" s="76">
        <f>G19*G20+G23*G24</f>
        <v>192.56377500000002</v>
      </c>
      <c r="H28" s="14"/>
    </row>
    <row r="29" spans="1:9" s="6" customFormat="1" ht="13">
      <c r="A29" s="15" t="s">
        <v>252</v>
      </c>
      <c r="G29" s="7"/>
      <c r="H29" s="7"/>
    </row>
    <row r="30" spans="1:9" ht="13">
      <c r="A30" t="s">
        <v>38</v>
      </c>
      <c r="C30" t="s">
        <v>12</v>
      </c>
      <c r="D30" s="17">
        <v>0.2</v>
      </c>
      <c r="E30" s="17">
        <v>0.2</v>
      </c>
      <c r="F30" s="17">
        <v>0.2</v>
      </c>
      <c r="G30" s="17">
        <v>0.2</v>
      </c>
      <c r="H30" s="17"/>
    </row>
    <row r="31" spans="1:9" ht="13">
      <c r="A31" t="s">
        <v>253</v>
      </c>
      <c r="B31" t="s">
        <v>254</v>
      </c>
      <c r="C31" s="18" t="s">
        <v>150</v>
      </c>
      <c r="G31" s="77">
        <v>31000</v>
      </c>
      <c r="H31" s="77"/>
      <c r="I31" t="s">
        <v>255</v>
      </c>
    </row>
    <row r="32" spans="1:9" ht="13">
      <c r="A32" s="11" t="s">
        <v>256</v>
      </c>
      <c r="G32" s="1"/>
      <c r="H32" s="1"/>
    </row>
    <row r="33" spans="1:9" ht="13">
      <c r="A33" t="s">
        <v>232</v>
      </c>
      <c r="B33" t="s">
        <v>257</v>
      </c>
      <c r="G33" s="17">
        <v>25</v>
      </c>
      <c r="H33" s="1"/>
      <c r="I33" s="5" t="s">
        <v>258</v>
      </c>
    </row>
    <row r="34" spans="1:9" ht="13">
      <c r="A34" t="s">
        <v>259</v>
      </c>
      <c r="B34" s="18" t="s">
        <v>260</v>
      </c>
      <c r="G34" s="17">
        <v>2.5</v>
      </c>
      <c r="H34" s="1"/>
      <c r="I34" s="5" t="s">
        <v>261</v>
      </c>
    </row>
    <row r="35" spans="1:9" ht="13">
      <c r="A35" t="s">
        <v>90</v>
      </c>
      <c r="B35" t="s">
        <v>88</v>
      </c>
      <c r="G35" s="17">
        <v>0.95</v>
      </c>
      <c r="H35" s="1"/>
      <c r="I35" s="5" t="s">
        <v>262</v>
      </c>
    </row>
    <row r="36" spans="1:9" ht="13">
      <c r="A36" t="s">
        <v>90</v>
      </c>
      <c r="B36" s="18" t="s">
        <v>263</v>
      </c>
      <c r="G36" s="17">
        <v>0.58499999999999996</v>
      </c>
      <c r="H36" s="1"/>
      <c r="I36" s="5" t="s">
        <v>262</v>
      </c>
    </row>
    <row r="37" spans="1:9" ht="13">
      <c r="A37" t="s">
        <v>90</v>
      </c>
      <c r="B37" s="18" t="s">
        <v>264</v>
      </c>
      <c r="G37" s="17">
        <v>0.16200000000000001</v>
      </c>
      <c r="H37" s="1"/>
      <c r="I37" s="5" t="s">
        <v>262</v>
      </c>
    </row>
    <row r="38" spans="1:9">
      <c r="A38" s="18" t="s">
        <v>265</v>
      </c>
      <c r="B38" s="18" t="s">
        <v>87</v>
      </c>
      <c r="G38" s="1">
        <f>G35*G33^G36*G34^G37</f>
        <v>7.2441059203893978</v>
      </c>
      <c r="H38" s="1"/>
      <c r="I38" s="5" t="s">
        <v>266</v>
      </c>
    </row>
    <row r="39" spans="1:9" ht="13">
      <c r="A39" s="18" t="s">
        <v>267</v>
      </c>
      <c r="B39" s="18" t="s">
        <v>268</v>
      </c>
      <c r="G39" s="77">
        <v>950</v>
      </c>
      <c r="H39" s="1"/>
      <c r="I39" s="5" t="s">
        <v>269</v>
      </c>
    </row>
    <row r="40" spans="1:9" ht="13">
      <c r="A40" t="s">
        <v>253</v>
      </c>
      <c r="B40" t="s">
        <v>270</v>
      </c>
      <c r="C40" s="18" t="s">
        <v>150</v>
      </c>
      <c r="G40" s="14">
        <f>G39*G38</f>
        <v>6881.9006243699278</v>
      </c>
      <c r="H40" s="77"/>
      <c r="I40" s="5" t="s">
        <v>271</v>
      </c>
    </row>
    <row r="41" spans="1:9" s="6" customFormat="1" ht="13">
      <c r="A41" s="15" t="s">
        <v>272</v>
      </c>
      <c r="G41" s="7"/>
      <c r="H41" s="7"/>
    </row>
    <row r="42" spans="1:9">
      <c r="A42" s="18" t="s">
        <v>90</v>
      </c>
      <c r="B42" t="s">
        <v>273</v>
      </c>
      <c r="C42" s="13" t="s">
        <v>57</v>
      </c>
      <c r="G42" s="1">
        <f>(G40*F6^3/F14)/(G31*G30^3/G7)</f>
        <v>0.71129266714983064</v>
      </c>
      <c r="H42" s="1"/>
    </row>
    <row r="43" spans="1:9">
      <c r="A43" s="18" t="s">
        <v>90</v>
      </c>
      <c r="B43" t="s">
        <v>274</v>
      </c>
      <c r="C43" s="13" t="s">
        <v>57</v>
      </c>
      <c r="G43" s="1">
        <f>(G40*G6^3/G14)/(G31*G30^3/G7)</f>
        <v>0.71129266714983064</v>
      </c>
      <c r="H43" s="1"/>
    </row>
    <row r="44" spans="1:9">
      <c r="A44" s="18" t="s">
        <v>275</v>
      </c>
      <c r="B44" t="s">
        <v>276</v>
      </c>
      <c r="C44" t="s">
        <v>132</v>
      </c>
      <c r="G44" s="9">
        <f>G11*G20+G22*G24</f>
        <v>13.575000000000001</v>
      </c>
      <c r="H44" s="9"/>
    </row>
    <row r="45" spans="1:9">
      <c r="A45" s="18" t="s">
        <v>277</v>
      </c>
      <c r="B45" t="s">
        <v>278</v>
      </c>
      <c r="C45" t="s">
        <v>197</v>
      </c>
      <c r="G45" s="9">
        <f>G44*G7^2/12</f>
        <v>27.830560000000006</v>
      </c>
      <c r="H45" s="9"/>
      <c r="I45" s="18" t="s">
        <v>279</v>
      </c>
    </row>
    <row r="46" spans="1:9">
      <c r="A46" s="18" t="s">
        <v>280</v>
      </c>
      <c r="B46" t="s">
        <v>281</v>
      </c>
      <c r="C46" t="s">
        <v>132</v>
      </c>
      <c r="G46" s="9">
        <f>G22*G24</f>
        <v>4.8000000000000007</v>
      </c>
      <c r="H46" s="9"/>
    </row>
    <row r="47" spans="1:9">
      <c r="A47" s="18" t="s">
        <v>282</v>
      </c>
      <c r="B47" s="18" t="s">
        <v>283</v>
      </c>
      <c r="C47" s="18" t="s">
        <v>197</v>
      </c>
      <c r="G47" s="9">
        <f>-G42/(3*(G42+G43)+2.5)*(3+G46/G44)*G45</f>
        <v>-9.8092476731792111</v>
      </c>
      <c r="H47" s="9"/>
    </row>
    <row r="48" spans="1:9">
      <c r="A48" s="18" t="s">
        <v>284</v>
      </c>
      <c r="B48" s="18" t="s">
        <v>285</v>
      </c>
      <c r="C48" s="18" t="s">
        <v>197</v>
      </c>
      <c r="G48" s="9">
        <f>G43/(3*(G42+G43)+2.5)*(3+G46/G44)*G45</f>
        <v>9.8092476731792111</v>
      </c>
      <c r="H48" s="9"/>
    </row>
    <row r="49" spans="1:10">
      <c r="A49" s="18" t="s">
        <v>286</v>
      </c>
      <c r="C49" s="18" t="s">
        <v>197</v>
      </c>
      <c r="G49" s="9">
        <f>-G48/2</f>
        <v>-4.9046238365896055</v>
      </c>
      <c r="H49" s="9"/>
    </row>
    <row r="50" spans="1:10">
      <c r="A50" s="18" t="s">
        <v>287</v>
      </c>
      <c r="C50" s="18"/>
      <c r="G50" s="9">
        <f>(G48+G49)/2</f>
        <v>2.4523119182948028</v>
      </c>
      <c r="H50" s="9"/>
    </row>
    <row r="51" spans="1:10" s="35" customFormat="1" ht="13">
      <c r="A51" s="45" t="s">
        <v>21</v>
      </c>
      <c r="B51" s="35" t="s">
        <v>66</v>
      </c>
      <c r="C51" s="45"/>
      <c r="G51" s="95">
        <v>0.5</v>
      </c>
      <c r="H51" s="68"/>
      <c r="I51" s="96" t="s">
        <v>288</v>
      </c>
      <c r="J51" s="35" t="s">
        <v>341</v>
      </c>
    </row>
    <row r="52" spans="1:10" ht="13">
      <c r="A52" s="15" t="s">
        <v>350</v>
      </c>
      <c r="C52" s="18"/>
      <c r="G52" s="17"/>
      <c r="H52" s="9"/>
      <c r="I52" s="5"/>
    </row>
    <row r="53" spans="1:10" ht="15.5">
      <c r="A53" s="18" t="s">
        <v>344</v>
      </c>
      <c r="B53" s="18" t="s">
        <v>347</v>
      </c>
      <c r="C53" s="18" t="s">
        <v>132</v>
      </c>
      <c r="D53" s="17">
        <v>0.5</v>
      </c>
      <c r="E53" s="17"/>
      <c r="F53" s="17"/>
      <c r="G53" s="17">
        <v>0.5</v>
      </c>
      <c r="H53" s="9"/>
      <c r="I53" s="5"/>
    </row>
    <row r="54" spans="1:10" ht="13">
      <c r="A54" s="18" t="s">
        <v>348</v>
      </c>
      <c r="B54" s="18"/>
      <c r="C54" s="18"/>
      <c r="D54" s="17">
        <v>1.5</v>
      </c>
      <c r="E54" s="17"/>
      <c r="F54" s="17"/>
      <c r="G54" s="17">
        <v>1.5</v>
      </c>
      <c r="H54" s="9"/>
      <c r="I54" s="5"/>
      <c r="J54" s="18" t="s">
        <v>349</v>
      </c>
    </row>
    <row r="55" spans="1:10" ht="15.5">
      <c r="A55" s="18" t="s">
        <v>352</v>
      </c>
      <c r="B55" s="18" t="s">
        <v>345</v>
      </c>
      <c r="C55" s="18" t="s">
        <v>197</v>
      </c>
      <c r="D55" s="1">
        <f>D53*(D14+D30)^2/8*D54</f>
        <v>0.74553750000000019</v>
      </c>
      <c r="E55" s="1"/>
      <c r="F55" s="1"/>
      <c r="G55" s="1">
        <f>G53*(G14+G30)^2/8*G54</f>
        <v>0.77490234375</v>
      </c>
      <c r="H55" s="9"/>
      <c r="I55" s="5"/>
      <c r="J55" s="18" t="s">
        <v>351</v>
      </c>
    </row>
    <row r="56" spans="1:10" s="35" customFormat="1" ht="15.5">
      <c r="A56" s="45" t="s">
        <v>352</v>
      </c>
      <c r="B56" s="45" t="s">
        <v>346</v>
      </c>
      <c r="C56" s="45" t="s">
        <v>197</v>
      </c>
      <c r="D56" s="97">
        <f t="shared" ref="D56" si="3">D55*1.5</f>
        <v>1.1183062500000003</v>
      </c>
      <c r="E56" s="97"/>
      <c r="F56" s="97"/>
      <c r="G56" s="97">
        <f>G55*1.5</f>
        <v>1.162353515625</v>
      </c>
      <c r="H56" s="68"/>
      <c r="I56" s="96"/>
    </row>
    <row r="57" spans="1:10" ht="13">
      <c r="A57" s="11" t="s">
        <v>289</v>
      </c>
      <c r="C57" s="18"/>
      <c r="G57" s="17"/>
      <c r="H57" s="9"/>
      <c r="I57" s="5"/>
    </row>
    <row r="58" spans="1:10">
      <c r="A58" s="18" t="s">
        <v>290</v>
      </c>
      <c r="B58" s="18" t="s">
        <v>291</v>
      </c>
      <c r="C58" s="18" t="s">
        <v>12</v>
      </c>
      <c r="D58" s="1">
        <f>D14/450</f>
        <v>5.8222222222222226E-3</v>
      </c>
      <c r="G58" s="1">
        <f>G14/450</f>
        <v>5.944444444444444E-3</v>
      </c>
      <c r="H58" s="9"/>
      <c r="I58" s="5" t="s">
        <v>292</v>
      </c>
    </row>
    <row r="59" spans="1:10" ht="13">
      <c r="A59" s="18" t="s">
        <v>293</v>
      </c>
      <c r="B59" s="18" t="s">
        <v>294</v>
      </c>
      <c r="C59" s="18" t="s">
        <v>12</v>
      </c>
      <c r="D59" s="98">
        <f>D56/D27</f>
        <v>4.5140591793362772E-2</v>
      </c>
      <c r="E59" s="17"/>
      <c r="F59" s="17"/>
      <c r="G59" s="98">
        <f>G56/G27</f>
        <v>6.3518681149111675E-3</v>
      </c>
      <c r="H59" s="9"/>
      <c r="J59" t="s">
        <v>343</v>
      </c>
    </row>
    <row r="60" spans="1:10">
      <c r="A60" s="18" t="s">
        <v>295</v>
      </c>
      <c r="B60" s="18" t="s">
        <v>296</v>
      </c>
      <c r="C60" s="18" t="s">
        <v>12</v>
      </c>
      <c r="D60" s="1">
        <f>MAX(D6*0.05,D51*ABS(D48)/D26+D58+D59)</f>
        <v>5.0962814015584994E-2</v>
      </c>
      <c r="G60" s="1">
        <f>MAX(G6*0.05,G51*ABS(G48)/G26+G58+G59)</f>
        <v>4.0577401649828912E-2</v>
      </c>
      <c r="H60" s="9"/>
      <c r="I60" t="s">
        <v>297</v>
      </c>
    </row>
    <row r="61" spans="1:10">
      <c r="A61" s="18" t="s">
        <v>298</v>
      </c>
      <c r="B61" s="18" t="s">
        <v>296</v>
      </c>
      <c r="C61" s="18" t="s">
        <v>12</v>
      </c>
      <c r="D61" s="1">
        <f>MAX(0.05*D6,ABS(D49)/D28+D59+D58)</f>
        <v>5.0962814015584994E-2</v>
      </c>
      <c r="G61" s="1">
        <f>MAX(0.05*G6,ABS(G49)/G28+G59+G58)</f>
        <v>3.7766439724185058E-2</v>
      </c>
      <c r="H61" s="9"/>
      <c r="I61" t="s">
        <v>297</v>
      </c>
    </row>
    <row r="62" spans="1:10">
      <c r="A62" s="18" t="s">
        <v>299</v>
      </c>
      <c r="B62" s="18" t="s">
        <v>221</v>
      </c>
      <c r="C62" s="18" t="s">
        <v>12</v>
      </c>
      <c r="D62" s="1">
        <f>ABS(D50)/D27+D59+D58</f>
        <v>5.0962814015584994E-2</v>
      </c>
      <c r="G62" s="1">
        <f>ABS(G50)/G27+G59+G58</f>
        <v>2.5697366259664452E-2</v>
      </c>
      <c r="H62" s="9"/>
      <c r="I62" t="s">
        <v>300</v>
      </c>
    </row>
    <row r="63" spans="1:10" ht="13">
      <c r="A63" s="18" t="s">
        <v>301</v>
      </c>
      <c r="B63" s="18" t="s">
        <v>302</v>
      </c>
      <c r="C63" s="27" t="s">
        <v>57</v>
      </c>
      <c r="D63" s="17">
        <v>1.5</v>
      </c>
      <c r="G63" s="17">
        <v>1.5</v>
      </c>
      <c r="H63" s="9"/>
      <c r="I63" s="5" t="s">
        <v>303</v>
      </c>
    </row>
    <row r="64" spans="1:10">
      <c r="A64" s="18" t="s">
        <v>304</v>
      </c>
      <c r="B64" s="18" t="s">
        <v>305</v>
      </c>
      <c r="C64" s="18" t="s">
        <v>12</v>
      </c>
      <c r="D64" s="73">
        <f>0.002*D63*D14/D6*SQRT(D62*D6)</f>
        <v>3.6219597968257201E-3</v>
      </c>
      <c r="G64" s="73">
        <f>0.002*G63*G14/G6*SQRT(G62*G6)</f>
        <v>2.6259335228767553E-3</v>
      </c>
      <c r="H64" s="9"/>
      <c r="I64" s="18" t="s">
        <v>306</v>
      </c>
    </row>
    <row r="65" spans="1:9">
      <c r="A65" s="18" t="s">
        <v>307</v>
      </c>
      <c r="B65" s="18" t="s">
        <v>308</v>
      </c>
      <c r="C65" s="18" t="s">
        <v>12</v>
      </c>
      <c r="D65" s="1">
        <f>MAX(0.05*D6,D62+D64)</f>
        <v>5.4584773812410711E-2</v>
      </c>
      <c r="G65" s="1">
        <f>MAX(0.05*G6,G62+G64)</f>
        <v>2.8323299782541209E-2</v>
      </c>
      <c r="H65" s="9"/>
      <c r="I65" s="18" t="s">
        <v>300</v>
      </c>
    </row>
    <row r="66" spans="1:9" s="6" customFormat="1" ht="13">
      <c r="A66" s="15" t="s">
        <v>342</v>
      </c>
      <c r="B66" s="28"/>
      <c r="C66" s="28"/>
      <c r="G66" s="7"/>
      <c r="H66" s="10"/>
    </row>
    <row r="67" spans="1:9">
      <c r="A67" t="s">
        <v>20</v>
      </c>
      <c r="C67" s="13" t="s">
        <v>57</v>
      </c>
      <c r="D67" s="5">
        <f>G67</f>
        <v>1.5</v>
      </c>
      <c r="G67" s="19">
        <f>'Vereinfachtes Verfahren S6'!G39</f>
        <v>1.5</v>
      </c>
      <c r="H67" s="19"/>
      <c r="I67" t="s">
        <v>249</v>
      </c>
    </row>
    <row r="68" spans="1:9">
      <c r="A68" t="s">
        <v>21</v>
      </c>
      <c r="C68" s="13" t="s">
        <v>57</v>
      </c>
      <c r="D68" s="5">
        <f>G68</f>
        <v>0.85</v>
      </c>
      <c r="G68" s="19">
        <f>'Vereinfachtes Verfahren S6'!G40</f>
        <v>0.85</v>
      </c>
      <c r="H68" s="19"/>
      <c r="I68" t="s">
        <v>249</v>
      </c>
    </row>
    <row r="69" spans="1:9">
      <c r="A69" s="18" t="s">
        <v>89</v>
      </c>
      <c r="B69" s="18" t="s">
        <v>63</v>
      </c>
      <c r="C69" t="s">
        <v>132</v>
      </c>
      <c r="D69" s="1">
        <f>G69</f>
        <v>4.1049933548873252</v>
      </c>
      <c r="G69" s="1">
        <f>G38/G67*G68</f>
        <v>4.1049933548873252</v>
      </c>
      <c r="H69" s="19"/>
    </row>
    <row r="70" spans="1:9" ht="15.5">
      <c r="A70" s="18" t="s">
        <v>21</v>
      </c>
      <c r="B70" s="102" t="s">
        <v>373</v>
      </c>
      <c r="C70" s="27" t="s">
        <v>57</v>
      </c>
      <c r="D70" s="1">
        <f>MIN(1-2*D60/D6,1-2*D61/D6,1-2*D65/D6)</f>
        <v>0.54512688489657735</v>
      </c>
      <c r="G70" s="1">
        <f>MIN(1-2*G60/G6,1-2*G61/G6,1-2*G65/G6)</f>
        <v>0.6618549862514258</v>
      </c>
      <c r="H70" s="9"/>
      <c r="I70" t="s">
        <v>309</v>
      </c>
    </row>
    <row r="71" spans="1:9" ht="15.5">
      <c r="A71" s="18" t="s">
        <v>21</v>
      </c>
      <c r="B71" s="102" t="s">
        <v>374</v>
      </c>
      <c r="C71" s="27" t="s">
        <v>57</v>
      </c>
      <c r="D71" s="101">
        <f>1.14*(1-2*D65/D6)-0.024*D14/D6</f>
        <v>0.35944464878209814</v>
      </c>
      <c r="G71" s="101">
        <f>1.14*(1-2*G65/G6)-0.024*G14/G6</f>
        <v>0.6034286520658585</v>
      </c>
      <c r="H71" s="9"/>
    </row>
    <row r="72" spans="1:9" ht="15.5">
      <c r="A72" s="18" t="s">
        <v>135</v>
      </c>
      <c r="B72" s="102" t="s">
        <v>137</v>
      </c>
      <c r="C72" s="18" t="s">
        <v>8</v>
      </c>
      <c r="D72" s="76">
        <f>D70*D69*D6*1000</f>
        <v>537.05813761701063</v>
      </c>
      <c r="G72" s="76">
        <f>G70*G69*G6*1000</f>
        <v>652.0584769106747</v>
      </c>
      <c r="H72" s="9"/>
    </row>
    <row r="73" spans="1:9" ht="15.5">
      <c r="A73" s="18" t="s">
        <v>135</v>
      </c>
      <c r="B73" s="102" t="s">
        <v>375</v>
      </c>
      <c r="C73" s="18" t="s">
        <v>8</v>
      </c>
      <c r="D73" s="76">
        <f>D71*D69*D6*1000</f>
        <v>354.12429472807713</v>
      </c>
      <c r="G73" s="76">
        <f>G71*G69*G6*1000</f>
        <v>594.4969456509516</v>
      </c>
      <c r="H73" s="9"/>
    </row>
    <row r="74" spans="1:9">
      <c r="A74" s="102" t="s">
        <v>133</v>
      </c>
      <c r="B74" s="44" t="s">
        <v>51</v>
      </c>
      <c r="D74" s="64">
        <f>D27/MIN(D72,D73)</f>
        <v>6.9958063789504185E-2</v>
      </c>
      <c r="E74" s="64"/>
      <c r="F74" s="64"/>
      <c r="G74" s="64">
        <f>G27/MIN(G72,G73)</f>
        <v>0.30781312475815759</v>
      </c>
      <c r="H74" s="9"/>
    </row>
    <row r="75" spans="1:9">
      <c r="D75" s="14"/>
      <c r="E75" s="14"/>
      <c r="F75" s="14"/>
      <c r="G75" s="14"/>
      <c r="H75" s="14"/>
      <c r="I75" s="1"/>
    </row>
    <row r="76" spans="1:9" ht="15">
      <c r="A76" s="65" t="s">
        <v>337</v>
      </c>
      <c r="D76" s="14"/>
      <c r="E76" s="14"/>
      <c r="F76" s="14"/>
      <c r="G76" s="14"/>
      <c r="H76" s="1"/>
    </row>
    <row r="77" spans="1:9">
      <c r="A77" s="18"/>
      <c r="B77" s="44"/>
      <c r="D77" s="64"/>
      <c r="E77" s="64"/>
      <c r="F77" s="64"/>
      <c r="G77" s="64"/>
      <c r="H77" s="1"/>
    </row>
    <row r="78" spans="1:9">
      <c r="H78" s="1"/>
    </row>
    <row r="79" spans="1:9">
      <c r="A79" s="18"/>
      <c r="B79" s="44"/>
      <c r="D79" s="64"/>
      <c r="E79" s="64"/>
      <c r="F79" s="64"/>
      <c r="G79" s="64"/>
      <c r="H79" s="1"/>
    </row>
    <row r="80" spans="1:9" ht="13">
      <c r="G80" s="4"/>
      <c r="H80" s="4"/>
    </row>
    <row r="81" spans="4:9">
      <c r="G81" s="1"/>
      <c r="H81" s="1"/>
    </row>
    <row r="82" spans="4:9">
      <c r="G82" s="1"/>
      <c r="H82" s="1"/>
    </row>
    <row r="83" spans="4:9">
      <c r="G83" s="1"/>
      <c r="H83" s="1"/>
    </row>
    <row r="84" spans="4:9">
      <c r="G84" s="1"/>
      <c r="H84" s="1"/>
    </row>
    <row r="85" spans="4:9">
      <c r="G85" s="1"/>
      <c r="H85" s="1"/>
      <c r="I85" s="13"/>
    </row>
    <row r="86" spans="4:9">
      <c r="G86" s="1"/>
      <c r="H86" s="1"/>
    </row>
    <row r="87" spans="4:9" ht="13">
      <c r="D87" s="1"/>
      <c r="E87" s="1"/>
      <c r="F87" s="1"/>
      <c r="G87" s="4"/>
      <c r="H87" s="4"/>
    </row>
    <row r="88" spans="4:9">
      <c r="G88" s="14"/>
      <c r="H88" s="14"/>
    </row>
    <row r="89" spans="4:9">
      <c r="G89" s="14"/>
      <c r="H89" s="14"/>
    </row>
    <row r="90" spans="4:9">
      <c r="G90" s="14"/>
      <c r="H90" s="14"/>
    </row>
    <row r="91" spans="4:9">
      <c r="G91" s="1"/>
      <c r="H91" s="1"/>
    </row>
    <row r="96" spans="4:9">
      <c r="G96" s="1"/>
      <c r="H96" s="1"/>
    </row>
    <row r="97" spans="7:8">
      <c r="G97" s="14"/>
      <c r="H97" s="14"/>
    </row>
  </sheetData>
  <pageMargins left="0.7" right="0.7" top="0.75" bottom="0.75" header="0.3" footer="0.3"/>
  <pageSetup paperSize="9" orientation="portrait" r:id="rId1"/>
  <headerFooter alignWithMargins="0">
    <oddHeader>&amp;CMW 28.11.2014: Lastexzentrizitäten, Standardverfahren</oddHeader>
  </headerFooter>
  <rowBreaks count="1" manualBreakCount="1">
    <brk id="5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H54"/>
  <sheetViews>
    <sheetView zoomScale="145" zoomScaleNormal="145" workbookViewId="0">
      <selection activeCell="A18" sqref="A18"/>
    </sheetView>
  </sheetViews>
  <sheetFormatPr baseColWidth="10" defaultRowHeight="12.5"/>
  <cols>
    <col min="1" max="1" width="31.453125" customWidth="1"/>
    <col min="2" max="2" width="4.453125" customWidth="1"/>
    <col min="3" max="3" width="7.26953125" customWidth="1"/>
    <col min="4" max="7" width="7.7265625" customWidth="1"/>
    <col min="8" max="8" width="20.54296875" customWidth="1"/>
  </cols>
  <sheetData>
    <row r="1" spans="1:8">
      <c r="A1" t="s">
        <v>71</v>
      </c>
    </row>
    <row r="2" spans="1:8">
      <c r="A2" t="s">
        <v>74</v>
      </c>
    </row>
    <row r="3" spans="1:8">
      <c r="A3" t="s">
        <v>76</v>
      </c>
    </row>
    <row r="4" spans="1:8">
      <c r="D4" s="2"/>
      <c r="E4" s="2"/>
      <c r="F4" s="2"/>
      <c r="G4" s="3"/>
      <c r="H4" s="8"/>
    </row>
    <row r="5" spans="1:8" ht="13">
      <c r="A5" s="11" t="s">
        <v>29</v>
      </c>
      <c r="G5" s="1"/>
    </row>
    <row r="6" spans="1:8" ht="13">
      <c r="E6" s="16"/>
      <c r="F6" s="16"/>
      <c r="G6" s="16"/>
    </row>
    <row r="7" spans="1:8" ht="13">
      <c r="A7" s="18" t="s">
        <v>144</v>
      </c>
      <c r="C7" t="s">
        <v>12</v>
      </c>
      <c r="D7" s="21">
        <v>10</v>
      </c>
      <c r="E7" s="9"/>
      <c r="F7" s="9"/>
      <c r="G7" s="9"/>
    </row>
    <row r="8" spans="1:8" ht="13">
      <c r="A8" t="s">
        <v>38</v>
      </c>
      <c r="C8" t="s">
        <v>12</v>
      </c>
      <c r="D8" s="16">
        <v>0.17499999999999999</v>
      </c>
      <c r="E8" s="16"/>
      <c r="F8" s="16"/>
      <c r="G8" s="16"/>
    </row>
    <row r="9" spans="1:8" ht="13">
      <c r="A9" t="s">
        <v>6</v>
      </c>
      <c r="C9" t="s">
        <v>12</v>
      </c>
      <c r="D9" s="21">
        <v>3.5</v>
      </c>
      <c r="E9" s="16"/>
      <c r="F9" s="16"/>
      <c r="G9" s="16"/>
    </row>
    <row r="10" spans="1:8" ht="13">
      <c r="A10" s="18" t="s">
        <v>142</v>
      </c>
      <c r="B10" s="18"/>
      <c r="C10" t="s">
        <v>12</v>
      </c>
      <c r="D10" s="16">
        <v>2.75</v>
      </c>
      <c r="G10" s="1"/>
    </row>
    <row r="11" spans="1:8">
      <c r="A11" s="18" t="s">
        <v>47</v>
      </c>
      <c r="C11" s="18" t="s">
        <v>131</v>
      </c>
      <c r="D11" s="9">
        <f>D9*D10</f>
        <v>9.625</v>
      </c>
      <c r="E11" s="1"/>
      <c r="F11" s="1"/>
      <c r="G11" s="1"/>
    </row>
    <row r="12" spans="1:8" ht="13">
      <c r="A12" s="18" t="s">
        <v>143</v>
      </c>
      <c r="C12" s="27" t="s">
        <v>57</v>
      </c>
      <c r="D12">
        <f>D10/D9</f>
        <v>0.7857142857142857</v>
      </c>
      <c r="E12" s="17"/>
      <c r="F12" s="17"/>
      <c r="G12" s="17"/>
    </row>
    <row r="13" spans="1:8">
      <c r="D13" s="1"/>
    </row>
    <row r="14" spans="1:8">
      <c r="A14" s="18" t="s">
        <v>145</v>
      </c>
      <c r="C14" t="s">
        <v>131</v>
      </c>
      <c r="D14">
        <v>13</v>
      </c>
      <c r="E14" s="1"/>
      <c r="F14" s="1"/>
      <c r="G14" s="1"/>
    </row>
    <row r="15" spans="1:8" ht="13">
      <c r="A15" s="18" t="s">
        <v>146</v>
      </c>
      <c r="C15" t="s">
        <v>131</v>
      </c>
      <c r="D15">
        <v>9</v>
      </c>
      <c r="E15" s="17"/>
      <c r="F15" s="17"/>
      <c r="G15" s="17"/>
    </row>
    <row r="16" spans="1:8" ht="13">
      <c r="A16" s="18" t="s">
        <v>147</v>
      </c>
      <c r="C16" t="s">
        <v>131</v>
      </c>
      <c r="D16" s="17">
        <f>(D14-D15)/0.5*(D12-0.5)+D15</f>
        <v>11.285714285714285</v>
      </c>
      <c r="E16" s="17"/>
      <c r="F16" s="17"/>
      <c r="G16" s="17"/>
    </row>
    <row r="17" spans="1:7" ht="13">
      <c r="D17" s="17"/>
      <c r="E17" s="17"/>
      <c r="F17" s="17"/>
      <c r="G17" s="17"/>
    </row>
    <row r="18" spans="1:7">
      <c r="A18" s="102" t="s">
        <v>663</v>
      </c>
      <c r="B18" s="44" t="s">
        <v>51</v>
      </c>
      <c r="D18" s="64">
        <f>D11/D16</f>
        <v>0.85284810126582289</v>
      </c>
      <c r="E18" s="1"/>
      <c r="F18" s="1"/>
      <c r="G18" s="1"/>
    </row>
    <row r="19" spans="1:7">
      <c r="D19" s="1"/>
      <c r="E19" s="1"/>
      <c r="F19" s="1"/>
      <c r="G19" s="1"/>
    </row>
    <row r="20" spans="1:7" ht="13">
      <c r="D20" s="17"/>
      <c r="E20" s="17"/>
      <c r="F20" s="17"/>
      <c r="G20" s="17"/>
    </row>
    <row r="21" spans="1:7">
      <c r="D21" s="1"/>
      <c r="E21" s="1"/>
      <c r="F21" s="1"/>
      <c r="G21" s="1"/>
    </row>
    <row r="22" spans="1:7">
      <c r="D22" s="1"/>
      <c r="E22" s="1"/>
      <c r="F22" s="1"/>
      <c r="G22" s="1"/>
    </row>
    <row r="23" spans="1:7">
      <c r="G23" s="1"/>
    </row>
    <row r="24" spans="1:7">
      <c r="D24" s="1"/>
      <c r="E24" s="1"/>
      <c r="F24" s="1"/>
      <c r="G24" s="1"/>
    </row>
    <row r="25" spans="1:7">
      <c r="D25" s="1"/>
      <c r="E25" s="1"/>
      <c r="F25" s="1"/>
      <c r="G25" s="1"/>
    </row>
    <row r="26" spans="1:7">
      <c r="D26" s="1"/>
      <c r="E26" s="1"/>
      <c r="F26" s="1"/>
      <c r="G26" s="1"/>
    </row>
    <row r="27" spans="1:7" ht="13">
      <c r="D27" s="17"/>
      <c r="E27" s="17"/>
      <c r="F27" s="17"/>
      <c r="G27" s="17"/>
    </row>
    <row r="28" spans="1:7" ht="13">
      <c r="A28" s="11"/>
      <c r="D28" s="1"/>
      <c r="E28" s="1"/>
      <c r="F28" s="1"/>
      <c r="G28" s="1"/>
    </row>
    <row r="29" spans="1:7" ht="13">
      <c r="D29" s="17"/>
      <c r="E29" s="17"/>
      <c r="F29" s="17"/>
      <c r="G29" s="17"/>
    </row>
    <row r="30" spans="1:7">
      <c r="D30" s="1"/>
      <c r="E30" s="1"/>
      <c r="F30" s="1"/>
      <c r="G30" s="1"/>
    </row>
    <row r="31" spans="1:7">
      <c r="D31" s="1"/>
      <c r="E31" s="1"/>
      <c r="F31" s="1"/>
      <c r="G31" s="1"/>
    </row>
    <row r="32" spans="1:7" ht="13">
      <c r="D32" s="17"/>
      <c r="E32" s="17"/>
      <c r="F32" s="17"/>
      <c r="G32" s="17"/>
    </row>
    <row r="33" spans="1:8" ht="13">
      <c r="A33" s="11"/>
      <c r="D33" s="1"/>
      <c r="E33" s="1"/>
      <c r="F33" s="1"/>
      <c r="G33" s="4"/>
    </row>
    <row r="34" spans="1:8">
      <c r="D34" s="14"/>
      <c r="E34" s="14"/>
      <c r="F34" s="14"/>
      <c r="G34" s="14"/>
    </row>
    <row r="35" spans="1:8">
      <c r="D35" s="14"/>
      <c r="E35" s="14"/>
      <c r="F35" s="14"/>
      <c r="G35" s="14"/>
    </row>
    <row r="36" spans="1:8">
      <c r="D36" s="14"/>
      <c r="E36" s="14"/>
      <c r="F36" s="14"/>
      <c r="G36" s="14"/>
    </row>
    <row r="37" spans="1:8" ht="13">
      <c r="A37" s="11"/>
      <c r="G37" s="1"/>
    </row>
    <row r="38" spans="1:8" ht="13">
      <c r="G38" s="21"/>
      <c r="H38" s="23"/>
    </row>
    <row r="39" spans="1:8" ht="13">
      <c r="G39" s="17"/>
      <c r="H39" s="5"/>
    </row>
    <row r="40" spans="1:8" ht="13">
      <c r="G40" s="17"/>
      <c r="H40" s="5"/>
    </row>
    <row r="41" spans="1:8">
      <c r="D41" s="9"/>
      <c r="E41" s="9"/>
      <c r="F41" s="9"/>
      <c r="G41" s="9"/>
      <c r="H41" s="9"/>
    </row>
    <row r="42" spans="1:8">
      <c r="B42" s="18"/>
      <c r="D42" s="23"/>
      <c r="E42" s="23"/>
      <c r="F42" s="23"/>
      <c r="G42" s="23"/>
    </row>
    <row r="43" spans="1:8" ht="13">
      <c r="D43" s="17"/>
      <c r="E43" s="17"/>
      <c r="F43" s="17"/>
      <c r="G43" s="17"/>
    </row>
    <row r="44" spans="1:8">
      <c r="D44" s="63"/>
      <c r="E44" s="1"/>
      <c r="F44" s="1"/>
      <c r="G44" s="1"/>
      <c r="H44" s="23"/>
    </row>
    <row r="45" spans="1:8">
      <c r="C45" s="13"/>
      <c r="D45" s="1"/>
      <c r="E45" s="1"/>
      <c r="F45" s="1"/>
      <c r="G45" s="1"/>
      <c r="H45" s="23"/>
    </row>
    <row r="46" spans="1:8">
      <c r="A46" s="18"/>
      <c r="D46" s="14"/>
      <c r="E46" s="14"/>
      <c r="F46" s="14"/>
      <c r="G46" s="14"/>
    </row>
    <row r="47" spans="1:8">
      <c r="A47" s="18"/>
      <c r="D47" s="14"/>
      <c r="E47" s="14"/>
      <c r="F47" s="14"/>
      <c r="G47" s="14"/>
    </row>
    <row r="48" spans="1:8">
      <c r="A48" s="18"/>
      <c r="D48" s="14"/>
      <c r="E48" s="14"/>
      <c r="F48" s="14"/>
      <c r="G48" s="14"/>
    </row>
    <row r="49" spans="1:7">
      <c r="A49" s="18"/>
      <c r="B49" s="44"/>
      <c r="D49" s="64"/>
      <c r="E49" s="64"/>
      <c r="F49" s="64"/>
      <c r="G49" s="64"/>
    </row>
    <row r="50" spans="1:7">
      <c r="A50" s="18"/>
      <c r="B50" s="44"/>
      <c r="D50" s="64"/>
      <c r="E50" s="64"/>
      <c r="F50" s="64"/>
      <c r="G50" s="64"/>
    </row>
    <row r="51" spans="1:7">
      <c r="A51" s="18"/>
      <c r="B51" s="44"/>
      <c r="D51" s="64"/>
      <c r="E51" s="64"/>
      <c r="F51" s="64"/>
      <c r="G51" s="64"/>
    </row>
    <row r="54" spans="1:7" ht="13">
      <c r="A54" s="65"/>
    </row>
  </sheetData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Header>&amp;CMW 07.11.2013: Lastexzentriztitäten, vereinf. Verfahren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J61"/>
  <sheetViews>
    <sheetView zoomScaleNormal="100" workbookViewId="0">
      <selection activeCell="L47" sqref="L47"/>
    </sheetView>
  </sheetViews>
  <sheetFormatPr baseColWidth="10" defaultRowHeight="12.5"/>
  <cols>
    <col min="1" max="1" width="28" customWidth="1"/>
    <col min="2" max="2" width="6.7265625" customWidth="1"/>
    <col min="3" max="3" width="6.54296875" customWidth="1"/>
    <col min="4" max="7" width="5.7265625" customWidth="1"/>
    <col min="8" max="8" width="6.7265625" customWidth="1"/>
    <col min="9" max="9" width="1.1796875" customWidth="1"/>
    <col min="10" max="10" width="20.81640625" customWidth="1"/>
  </cols>
  <sheetData>
    <row r="1" spans="1:10">
      <c r="A1" t="s">
        <v>92</v>
      </c>
    </row>
    <row r="2" spans="1:10">
      <c r="A2" t="s">
        <v>74</v>
      </c>
    </row>
    <row r="3" spans="1:10">
      <c r="A3" t="s">
        <v>76</v>
      </c>
    </row>
    <row r="5" spans="1:10">
      <c r="D5" s="2" t="s">
        <v>1</v>
      </c>
      <c r="E5" s="2" t="s">
        <v>3</v>
      </c>
      <c r="F5" s="2" t="s">
        <v>2</v>
      </c>
      <c r="G5" s="3" t="s">
        <v>0</v>
      </c>
      <c r="H5" s="2" t="s">
        <v>52</v>
      </c>
      <c r="I5" s="2"/>
    </row>
    <row r="6" spans="1:10" ht="13">
      <c r="A6" s="11" t="s">
        <v>353</v>
      </c>
      <c r="G6" s="1"/>
    </row>
    <row r="7" spans="1:10" ht="13">
      <c r="A7" s="18" t="s">
        <v>11</v>
      </c>
      <c r="B7" t="s">
        <v>48</v>
      </c>
      <c r="C7" t="s">
        <v>12</v>
      </c>
      <c r="D7" s="19">
        <f>'Schnittkräfte S1'!D15</f>
        <v>0.24</v>
      </c>
      <c r="E7" s="19">
        <f>'Schnittkräfte S1'!E15</f>
        <v>0.24</v>
      </c>
      <c r="F7" s="19">
        <f>'Schnittkräfte S1'!F15</f>
        <v>0.24</v>
      </c>
      <c r="G7" s="19">
        <f>'Schnittkräfte S1'!G15</f>
        <v>0.24</v>
      </c>
      <c r="H7" s="17">
        <v>0.24</v>
      </c>
      <c r="I7" s="17"/>
    </row>
    <row r="8" spans="1:10" ht="13">
      <c r="A8" t="s">
        <v>55</v>
      </c>
      <c r="B8" t="s">
        <v>51</v>
      </c>
      <c r="C8" t="s">
        <v>12</v>
      </c>
      <c r="D8" s="19">
        <f>'Schnittkräfte S1'!D16</f>
        <v>2.62</v>
      </c>
      <c r="E8" s="19">
        <f>'Schnittkräfte S1'!E16</f>
        <v>2.6749999999999998</v>
      </c>
      <c r="F8" s="19">
        <f>'Schnittkräfte S1'!F16</f>
        <v>2.6749999999999998</v>
      </c>
      <c r="G8" s="19">
        <f>'Schnittkräfte S1'!G16</f>
        <v>2.6749999999999998</v>
      </c>
      <c r="H8" s="16">
        <v>2.625</v>
      </c>
      <c r="I8" s="16"/>
    </row>
    <row r="9" spans="1:10" ht="13">
      <c r="A9" t="s">
        <v>6</v>
      </c>
      <c r="C9" t="s">
        <v>12</v>
      </c>
      <c r="D9" s="19">
        <f>'Schnittkräfte S1'!D7</f>
        <v>4.96</v>
      </c>
      <c r="E9" s="19">
        <f>'Schnittkräfte S1'!E7</f>
        <v>4.96</v>
      </c>
      <c r="F9" s="19">
        <f>'Schnittkräfte S1'!F7</f>
        <v>4.96</v>
      </c>
      <c r="G9" s="19">
        <f>'Schnittkräfte S1'!G7</f>
        <v>4.96</v>
      </c>
      <c r="H9" s="17">
        <v>4.96</v>
      </c>
      <c r="I9" s="17"/>
    </row>
    <row r="10" spans="1:10" ht="13">
      <c r="A10" t="s">
        <v>54</v>
      </c>
      <c r="D10" s="24">
        <f>'Schnittkräfte S1'!D8</f>
        <v>0.183</v>
      </c>
      <c r="E10" s="24">
        <f>'Schnittkräfte S1'!E8</f>
        <v>0.183</v>
      </c>
      <c r="F10" s="24">
        <f>'Schnittkräfte S1'!F8</f>
        <v>0.183</v>
      </c>
      <c r="G10" s="24">
        <f>'Schnittkräfte S1'!G8</f>
        <v>0.183</v>
      </c>
      <c r="H10" s="25">
        <v>0.183</v>
      </c>
      <c r="I10" s="20"/>
    </row>
    <row r="11" spans="1:10">
      <c r="A11" t="s">
        <v>4</v>
      </c>
      <c r="C11" s="18" t="s">
        <v>131</v>
      </c>
      <c r="D11" s="5">
        <f>D9*D9*D10</f>
        <v>4.5020927999999998</v>
      </c>
      <c r="E11" s="5">
        <f>E9*E9*E10</f>
        <v>4.5020927999999998</v>
      </c>
      <c r="F11" s="5">
        <f>F9*F9*F10</f>
        <v>4.5020927999999998</v>
      </c>
      <c r="G11" s="5">
        <f>G9*G9*G10</f>
        <v>4.5020927999999998</v>
      </c>
      <c r="H11" s="5">
        <f>H9*H9*H10</f>
        <v>4.5020927999999998</v>
      </c>
      <c r="I11" s="5"/>
      <c r="J11" t="s">
        <v>96</v>
      </c>
    </row>
    <row r="12" spans="1:10" s="6" customFormat="1" ht="13">
      <c r="A12" s="15" t="s">
        <v>26</v>
      </c>
      <c r="D12" s="7"/>
      <c r="E12" s="7"/>
      <c r="F12" s="7"/>
      <c r="G12" s="7"/>
    </row>
    <row r="13" spans="1:10" ht="13">
      <c r="A13" t="s">
        <v>25</v>
      </c>
      <c r="C13" s="18" t="s">
        <v>132</v>
      </c>
      <c r="D13" s="19">
        <f>'Schnittkräfte S1'!D11</f>
        <v>4.5999999999999996</v>
      </c>
      <c r="E13" s="19">
        <f>'Schnittkräfte S1'!E11</f>
        <v>6.5</v>
      </c>
      <c r="F13" s="19">
        <f>'Schnittkräfte S1'!F11</f>
        <v>6.5</v>
      </c>
      <c r="G13" s="19">
        <f>'Schnittkräfte S1'!G11</f>
        <v>6.5</v>
      </c>
      <c r="H13" s="17">
        <v>6.5</v>
      </c>
      <c r="I13" s="17"/>
    </row>
    <row r="14" spans="1:10">
      <c r="A14" t="s">
        <v>45</v>
      </c>
      <c r="C14" t="s">
        <v>7</v>
      </c>
      <c r="D14" s="1">
        <f>D13*D11</f>
        <v>20.709626879999998</v>
      </c>
      <c r="E14" s="1">
        <f>E13*E11</f>
        <v>29.263603199999999</v>
      </c>
      <c r="F14" s="1">
        <f>F13*F11</f>
        <v>29.263603199999999</v>
      </c>
      <c r="G14" s="1">
        <f>G13*G11</f>
        <v>29.263603199999999</v>
      </c>
      <c r="H14" s="1">
        <f>H13*H11</f>
        <v>29.263603199999999</v>
      </c>
      <c r="I14" s="1"/>
    </row>
    <row r="15" spans="1:10">
      <c r="A15" t="s">
        <v>46</v>
      </c>
      <c r="C15" t="s">
        <v>8</v>
      </c>
      <c r="D15" s="1">
        <f>D14/D9</f>
        <v>4.1753279999999995</v>
      </c>
      <c r="E15" s="1">
        <f>E14/E9</f>
        <v>5.8999199999999998</v>
      </c>
      <c r="F15" s="1">
        <f>F14/F9</f>
        <v>5.8999199999999998</v>
      </c>
      <c r="G15" s="1">
        <f>G14/G9</f>
        <v>5.8999199999999998</v>
      </c>
      <c r="H15" s="1">
        <f>H14/H9</f>
        <v>5.8999199999999998</v>
      </c>
      <c r="I15" s="1"/>
    </row>
    <row r="16" spans="1:10" s="6" customFormat="1" ht="13">
      <c r="A16" s="15" t="s">
        <v>24</v>
      </c>
      <c r="D16" s="7"/>
      <c r="E16" s="7"/>
      <c r="F16" s="7"/>
      <c r="G16" s="7"/>
    </row>
    <row r="17" spans="1:9" ht="13">
      <c r="A17" t="s">
        <v>14</v>
      </c>
      <c r="C17" s="18" t="s">
        <v>107</v>
      </c>
      <c r="D17" s="19">
        <f>'Schnittkräfte S1'!D17</f>
        <v>20</v>
      </c>
      <c r="E17" s="19">
        <f>'Schnittkräfte S1'!E17</f>
        <v>20</v>
      </c>
      <c r="F17" s="19">
        <f>'Schnittkräfte S1'!F17</f>
        <v>20</v>
      </c>
      <c r="G17" s="19">
        <f>'Schnittkräfte S1'!G17</f>
        <v>20</v>
      </c>
      <c r="H17" s="17">
        <v>20</v>
      </c>
      <c r="I17" s="17"/>
    </row>
    <row r="18" spans="1:9">
      <c r="A18" t="s">
        <v>42</v>
      </c>
      <c r="C18" s="18" t="s">
        <v>132</v>
      </c>
      <c r="D18" s="1">
        <f t="shared" ref="D18:H19" si="0">D17*D7</f>
        <v>4.8</v>
      </c>
      <c r="E18" s="1">
        <f t="shared" si="0"/>
        <v>4.8</v>
      </c>
      <c r="F18" s="1">
        <f t="shared" si="0"/>
        <v>4.8</v>
      </c>
      <c r="G18" s="1">
        <f t="shared" si="0"/>
        <v>4.8</v>
      </c>
      <c r="H18" s="1">
        <f t="shared" si="0"/>
        <v>4.8</v>
      </c>
      <c r="I18" s="1"/>
    </row>
    <row r="19" spans="1:9">
      <c r="A19" t="s">
        <v>43</v>
      </c>
      <c r="C19" t="s">
        <v>8</v>
      </c>
      <c r="D19" s="1">
        <f>D18*D8</f>
        <v>12.576000000000001</v>
      </c>
      <c r="E19" s="1">
        <f t="shared" si="0"/>
        <v>12.839999999999998</v>
      </c>
      <c r="F19" s="1">
        <f t="shared" si="0"/>
        <v>12.839999999999998</v>
      </c>
      <c r="G19" s="1">
        <f t="shared" si="0"/>
        <v>12.839999999999998</v>
      </c>
      <c r="H19" s="1">
        <f t="shared" si="0"/>
        <v>12.6</v>
      </c>
      <c r="I19" s="1"/>
    </row>
    <row r="20" spans="1:9" ht="13">
      <c r="A20" t="s">
        <v>15</v>
      </c>
      <c r="C20" s="18" t="s">
        <v>132</v>
      </c>
      <c r="D20" s="19">
        <f>'Schnittkräfte S1'!D20</f>
        <v>0.5</v>
      </c>
      <c r="E20" s="19">
        <f>'Schnittkräfte S1'!E20</f>
        <v>0.5</v>
      </c>
      <c r="F20" s="19">
        <f>'Schnittkräfte S1'!F20</f>
        <v>0.5</v>
      </c>
      <c r="G20" s="19">
        <f>'Schnittkräfte S1'!G20</f>
        <v>0.5</v>
      </c>
      <c r="H20" s="17">
        <v>0</v>
      </c>
      <c r="I20" s="17"/>
    </row>
    <row r="21" spans="1:9">
      <c r="A21" t="s">
        <v>44</v>
      </c>
      <c r="C21" t="s">
        <v>8</v>
      </c>
      <c r="D21" s="1">
        <f>D20*D8</f>
        <v>1.31</v>
      </c>
      <c r="E21" s="1">
        <f>E20*E8</f>
        <v>1.3374999999999999</v>
      </c>
      <c r="F21" s="1">
        <f>F20*F8</f>
        <v>1.3374999999999999</v>
      </c>
      <c r="G21" s="1">
        <f>G20*G8</f>
        <v>1.3374999999999999</v>
      </c>
      <c r="H21" s="1">
        <f>H20*H8</f>
        <v>0</v>
      </c>
      <c r="I21" s="1"/>
    </row>
    <row r="22" spans="1:9">
      <c r="A22" t="s">
        <v>53</v>
      </c>
      <c r="C22" t="s">
        <v>8</v>
      </c>
      <c r="D22" s="1">
        <f>D19+D21</f>
        <v>13.886000000000001</v>
      </c>
      <c r="E22" s="1">
        <f>E19+E21</f>
        <v>14.177499999999998</v>
      </c>
      <c r="F22" s="1">
        <f>F19+F21</f>
        <v>14.177499999999998</v>
      </c>
      <c r="G22" s="1">
        <f>G19+G21</f>
        <v>14.177499999999998</v>
      </c>
      <c r="H22" s="1">
        <f>H19+H21</f>
        <v>12.6</v>
      </c>
      <c r="I22" s="1"/>
    </row>
    <row r="23" spans="1:9" s="6" customFormat="1">
      <c r="A23" s="6" t="s">
        <v>58</v>
      </c>
      <c r="D23" s="7"/>
      <c r="E23" s="7"/>
      <c r="F23" s="7"/>
      <c r="G23" s="7"/>
    </row>
    <row r="24" spans="1:9">
      <c r="A24" t="s">
        <v>32</v>
      </c>
      <c r="C24" t="s">
        <v>8</v>
      </c>
      <c r="D24" s="14">
        <f>D15</f>
        <v>4.1753279999999995</v>
      </c>
      <c r="E24" s="14">
        <f>D26+E15</f>
        <v>23.961247999999998</v>
      </c>
      <c r="F24" s="14">
        <f>E26+F15</f>
        <v>44.038667999999994</v>
      </c>
      <c r="G24" s="14">
        <f>F26+G15</f>
        <v>64.116087999999991</v>
      </c>
      <c r="H24" s="14">
        <f>G26+H15</f>
        <v>84.19350799999998</v>
      </c>
      <c r="I24" s="1"/>
    </row>
    <row r="25" spans="1:9">
      <c r="A25" t="s">
        <v>33</v>
      </c>
      <c r="C25" t="s">
        <v>8</v>
      </c>
      <c r="D25" s="14">
        <f>D15+D22/2</f>
        <v>11.118328</v>
      </c>
      <c r="E25" s="14">
        <f>E24+E22/2</f>
        <v>31.049997999999995</v>
      </c>
      <c r="F25" s="14">
        <f>F24+F22/2</f>
        <v>51.127417999999992</v>
      </c>
      <c r="G25" s="14">
        <f>G24+G22/2</f>
        <v>71.204837999999995</v>
      </c>
      <c r="H25" s="14">
        <f>H24+H22/2</f>
        <v>90.493507999999977</v>
      </c>
      <c r="I25" s="1"/>
    </row>
    <row r="26" spans="1:9">
      <c r="A26" t="s">
        <v>34</v>
      </c>
      <c r="C26" t="s">
        <v>8</v>
      </c>
      <c r="D26" s="14">
        <f>D15+D22</f>
        <v>18.061328</v>
      </c>
      <c r="E26" s="14">
        <f>E24+E22</f>
        <v>38.138747999999993</v>
      </c>
      <c r="F26" s="14">
        <f>F24+F22</f>
        <v>58.216167999999996</v>
      </c>
      <c r="G26" s="14">
        <f>G24+G22</f>
        <v>78.293587999999986</v>
      </c>
      <c r="H26" s="14">
        <f>H24+H22</f>
        <v>96.793507999999974</v>
      </c>
      <c r="I26" s="1"/>
    </row>
    <row r="27" spans="1:9" ht="13">
      <c r="A27" t="s">
        <v>17</v>
      </c>
      <c r="D27" s="1"/>
      <c r="E27" s="1"/>
      <c r="F27" s="1"/>
      <c r="G27" s="17">
        <v>1.35</v>
      </c>
      <c r="H27" s="17">
        <v>1.35</v>
      </c>
      <c r="I27" s="17"/>
    </row>
    <row r="28" spans="1:9" s="6" customFormat="1" ht="13">
      <c r="A28" s="15" t="s">
        <v>27</v>
      </c>
      <c r="D28" s="7"/>
      <c r="E28" s="7"/>
      <c r="F28" s="7"/>
      <c r="G28" s="7"/>
    </row>
    <row r="29" spans="1:9" ht="13">
      <c r="A29" t="s">
        <v>25</v>
      </c>
      <c r="C29" s="18" t="s">
        <v>132</v>
      </c>
      <c r="D29" s="19">
        <f>'Schnittkräfte S1'!D29</f>
        <v>0</v>
      </c>
      <c r="E29" s="19">
        <f>'Schnittkräfte S1'!E29</f>
        <v>3.2</v>
      </c>
      <c r="F29" s="19">
        <f>'Schnittkräfte S1'!F29</f>
        <v>3.2</v>
      </c>
      <c r="G29" s="19">
        <f>'Schnittkräfte S1'!G29</f>
        <v>3.2</v>
      </c>
      <c r="H29" s="17">
        <v>3.2</v>
      </c>
      <c r="I29" s="17"/>
    </row>
    <row r="30" spans="1:9">
      <c r="A30" t="s">
        <v>45</v>
      </c>
      <c r="C30" t="s">
        <v>7</v>
      </c>
      <c r="D30" s="1">
        <f>D29*D11</f>
        <v>0</v>
      </c>
      <c r="E30" s="1">
        <f>E29*E11</f>
        <v>14.40669696</v>
      </c>
      <c r="F30" s="1">
        <f>F29*F11</f>
        <v>14.40669696</v>
      </c>
      <c r="G30" s="1">
        <f>G29*G11</f>
        <v>14.40669696</v>
      </c>
      <c r="H30" s="1">
        <f>H29*H11</f>
        <v>14.40669696</v>
      </c>
      <c r="I30" s="1"/>
    </row>
    <row r="31" spans="1:9">
      <c r="A31" t="s">
        <v>46</v>
      </c>
      <c r="C31" t="s">
        <v>8</v>
      </c>
      <c r="D31" s="1">
        <f>D30/D9</f>
        <v>0</v>
      </c>
      <c r="E31" s="1">
        <f>E30/E9</f>
        <v>2.904576</v>
      </c>
      <c r="F31" s="1">
        <f>F30/F9</f>
        <v>2.904576</v>
      </c>
      <c r="G31" s="1">
        <f>G30/G9</f>
        <v>2.904576</v>
      </c>
      <c r="H31" s="1">
        <f>H30/H9</f>
        <v>2.904576</v>
      </c>
      <c r="I31" s="1"/>
    </row>
    <row r="32" spans="1:9">
      <c r="A32" t="s">
        <v>28</v>
      </c>
      <c r="C32" t="s">
        <v>8</v>
      </c>
      <c r="D32" s="1">
        <f>D31</f>
        <v>0</v>
      </c>
      <c r="E32" s="1">
        <f>D32+E31</f>
        <v>2.904576</v>
      </c>
      <c r="F32" s="1">
        <f>E32+F31</f>
        <v>5.8091520000000001</v>
      </c>
      <c r="G32" s="1">
        <f>F32+G31</f>
        <v>8.7137279999999997</v>
      </c>
      <c r="H32" s="1">
        <f>G32+H31</f>
        <v>11.618304</v>
      </c>
      <c r="I32" s="1"/>
    </row>
    <row r="33" spans="1:10" ht="13">
      <c r="A33" t="s">
        <v>18</v>
      </c>
      <c r="D33" s="1"/>
      <c r="E33" s="1"/>
      <c r="F33" s="1"/>
      <c r="G33" s="17">
        <v>1.5</v>
      </c>
      <c r="H33" s="17">
        <v>1.5</v>
      </c>
      <c r="I33" s="17"/>
    </row>
    <row r="34" spans="1:10" s="6" customFormat="1" ht="13">
      <c r="A34" s="15" t="s">
        <v>153</v>
      </c>
      <c r="D34" s="7"/>
      <c r="E34" s="7"/>
      <c r="F34" s="7"/>
      <c r="G34" s="12"/>
    </row>
    <row r="35" spans="1:10">
      <c r="A35" t="s">
        <v>32</v>
      </c>
      <c r="B35" t="s">
        <v>60</v>
      </c>
      <c r="C35" t="s">
        <v>8</v>
      </c>
      <c r="G35" s="14"/>
      <c r="H35" s="14">
        <f>H24</f>
        <v>84.19350799999998</v>
      </c>
      <c r="I35" s="9"/>
    </row>
    <row r="36" spans="1:10">
      <c r="A36" t="s">
        <v>33</v>
      </c>
      <c r="B36" t="s">
        <v>61</v>
      </c>
      <c r="C36" t="s">
        <v>8</v>
      </c>
      <c r="G36" s="14"/>
      <c r="H36" s="14">
        <f>H25</f>
        <v>90.493507999999977</v>
      </c>
      <c r="I36" s="9"/>
    </row>
    <row r="37" spans="1:10">
      <c r="A37" s="35" t="s">
        <v>34</v>
      </c>
      <c r="B37" s="35" t="s">
        <v>62</v>
      </c>
      <c r="C37" s="35" t="s">
        <v>8</v>
      </c>
      <c r="D37" s="35"/>
      <c r="E37" s="35"/>
      <c r="F37" s="35"/>
      <c r="G37" s="67"/>
      <c r="H37" s="67">
        <f>H26</f>
        <v>96.793507999999974</v>
      </c>
      <c r="I37" s="9"/>
    </row>
    <row r="38" spans="1:10" ht="13">
      <c r="A38" s="15" t="s">
        <v>152</v>
      </c>
      <c r="B38" s="6"/>
      <c r="C38" s="6"/>
      <c r="D38" s="7"/>
      <c r="E38" s="7"/>
      <c r="F38" s="7"/>
      <c r="G38" s="12"/>
      <c r="H38" s="6"/>
      <c r="I38" s="9"/>
    </row>
    <row r="39" spans="1:10">
      <c r="A39" t="s">
        <v>32</v>
      </c>
      <c r="B39" t="s">
        <v>60</v>
      </c>
      <c r="C39" t="s">
        <v>8</v>
      </c>
      <c r="G39" s="14"/>
      <c r="H39" s="14">
        <f>H24*H27+H32*H33</f>
        <v>131.08869179999999</v>
      </c>
      <c r="I39" s="9"/>
    </row>
    <row r="40" spans="1:10">
      <c r="A40" t="s">
        <v>33</v>
      </c>
      <c r="B40" t="s">
        <v>61</v>
      </c>
      <c r="C40" t="s">
        <v>8</v>
      </c>
      <c r="G40" s="14"/>
      <c r="H40" s="22">
        <f>H25*H27+H32*H33</f>
        <v>139.59369179999999</v>
      </c>
      <c r="I40" s="9"/>
    </row>
    <row r="41" spans="1:10">
      <c r="A41" s="35" t="s">
        <v>34</v>
      </c>
      <c r="B41" s="35" t="s">
        <v>62</v>
      </c>
      <c r="C41" s="35" t="s">
        <v>8</v>
      </c>
      <c r="D41" s="35"/>
      <c r="E41" s="35"/>
      <c r="F41" s="35"/>
      <c r="G41" s="67"/>
      <c r="H41" s="67">
        <f>H26*H27+H32*H33</f>
        <v>148.09869179999998</v>
      </c>
      <c r="I41" s="68"/>
    </row>
    <row r="42" spans="1:10" ht="13">
      <c r="A42" s="15" t="s">
        <v>156</v>
      </c>
      <c r="I42" s="9"/>
    </row>
    <row r="43" spans="1:10" ht="15.5">
      <c r="A43" t="s">
        <v>56</v>
      </c>
      <c r="B43" s="18" t="s">
        <v>151</v>
      </c>
      <c r="C43" t="s">
        <v>12</v>
      </c>
      <c r="H43" s="17">
        <v>2.08</v>
      </c>
      <c r="I43" s="9"/>
    </row>
    <row r="44" spans="1:10" ht="13">
      <c r="A44" t="s">
        <v>59</v>
      </c>
      <c r="B44" s="44" t="s">
        <v>105</v>
      </c>
      <c r="C44" t="s">
        <v>13</v>
      </c>
      <c r="G44" s="9"/>
      <c r="H44" s="21">
        <v>18</v>
      </c>
      <c r="I44" s="9"/>
    </row>
    <row r="45" spans="1:10" ht="13">
      <c r="A45" s="18" t="s">
        <v>90</v>
      </c>
      <c r="B45" s="66" t="s">
        <v>49</v>
      </c>
      <c r="G45" s="14"/>
      <c r="H45" s="21">
        <v>20</v>
      </c>
      <c r="I45" s="9"/>
    </row>
    <row r="46" spans="1:10" ht="15.5">
      <c r="A46" s="18" t="s">
        <v>89</v>
      </c>
      <c r="B46" s="18" t="s">
        <v>127</v>
      </c>
      <c r="C46" s="27" t="s">
        <v>5</v>
      </c>
      <c r="G46" s="9"/>
      <c r="H46" s="5">
        <f>'Schnittkräfte S1'!G42</f>
        <v>4.08</v>
      </c>
      <c r="I46" s="9"/>
      <c r="J46" t="s">
        <v>91</v>
      </c>
    </row>
    <row r="47" spans="1:10" ht="15.5">
      <c r="A47" s="18" t="s">
        <v>154</v>
      </c>
      <c r="B47" s="18" t="s">
        <v>148</v>
      </c>
      <c r="C47" t="s">
        <v>8</v>
      </c>
      <c r="G47" s="14"/>
      <c r="H47" s="9">
        <f>H44*H8*H43^2/(H45*H7)</f>
        <v>42.588000000000001</v>
      </c>
      <c r="I47" s="9"/>
    </row>
    <row r="48" spans="1:10" ht="15.5">
      <c r="A48" s="45" t="s">
        <v>155</v>
      </c>
      <c r="B48" s="45" t="s">
        <v>149</v>
      </c>
      <c r="C48" s="35" t="s">
        <v>8</v>
      </c>
      <c r="D48" s="35"/>
      <c r="E48" s="35"/>
      <c r="F48" s="35"/>
      <c r="G48" s="67"/>
      <c r="H48" s="68">
        <f>H7*H46/3*1000</f>
        <v>326.39999999999998</v>
      </c>
      <c r="I48" s="68"/>
    </row>
    <row r="49" spans="1:9" ht="15.5">
      <c r="A49" s="18" t="s">
        <v>133</v>
      </c>
      <c r="B49" s="44" t="s">
        <v>157</v>
      </c>
      <c r="H49">
        <f>H47/H36</f>
        <v>0.4706193951504235</v>
      </c>
      <c r="I49" s="9"/>
    </row>
    <row r="50" spans="1:9" ht="15.5">
      <c r="B50" s="44" t="s">
        <v>158</v>
      </c>
      <c r="H50">
        <f>H40/H48</f>
        <v>0.42767675183823528</v>
      </c>
      <c r="I50" s="9"/>
    </row>
    <row r="51" spans="1:9">
      <c r="I51" s="9"/>
    </row>
    <row r="52" spans="1:9">
      <c r="G52" s="14"/>
      <c r="H52" s="14"/>
      <c r="I52" s="9"/>
    </row>
    <row r="53" spans="1:9">
      <c r="G53" s="14"/>
      <c r="H53" s="14"/>
      <c r="I53" s="9"/>
    </row>
    <row r="54" spans="1:9">
      <c r="G54" s="14"/>
      <c r="H54" s="14"/>
      <c r="I54" s="9"/>
    </row>
    <row r="55" spans="1:9">
      <c r="G55" s="9"/>
      <c r="H55" s="5"/>
      <c r="I55" s="9"/>
    </row>
    <row r="56" spans="1:9">
      <c r="A56" s="18"/>
      <c r="B56" s="18"/>
      <c r="H56" s="9"/>
      <c r="I56" s="9"/>
    </row>
    <row r="57" spans="1:9">
      <c r="A57" s="18"/>
      <c r="B57" s="18"/>
      <c r="H57" s="9"/>
      <c r="I57" s="9"/>
    </row>
    <row r="58" spans="1:9">
      <c r="A58" s="18"/>
      <c r="B58" s="18"/>
      <c r="H58" s="9"/>
      <c r="I58" s="9"/>
    </row>
    <row r="59" spans="1:9">
      <c r="A59" s="18"/>
      <c r="B59" s="18"/>
      <c r="H59" s="9"/>
      <c r="I59" s="9"/>
    </row>
    <row r="60" spans="1:9">
      <c r="A60" s="18"/>
      <c r="B60" s="18"/>
      <c r="H60" s="9"/>
      <c r="I60" s="9"/>
    </row>
    <row r="61" spans="1:9">
      <c r="A61" s="18"/>
      <c r="B61" s="18"/>
      <c r="H61" s="9"/>
      <c r="I61" s="9"/>
    </row>
  </sheetData>
  <phoneticPr fontId="4" type="noConversion"/>
  <pageMargins left="0.64" right="0.46" top="0.82" bottom="0.49" header="0.4921259845" footer="0.4921259845"/>
  <pageSetup paperSize="9" orientation="portrait" r:id="rId1"/>
  <headerFooter alignWithMargins="0">
    <oddHeader>&amp;CMW 16.1.2015: Beispiel Kellerwand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L87"/>
  <sheetViews>
    <sheetView topLeftCell="A15" zoomScale="145" zoomScaleNormal="145" workbookViewId="0">
      <selection activeCell="A7" sqref="A7"/>
    </sheetView>
  </sheetViews>
  <sheetFormatPr baseColWidth="10" defaultRowHeight="12.5"/>
  <cols>
    <col min="1" max="1" width="28" customWidth="1"/>
    <col min="2" max="2" width="6.7265625" customWidth="1"/>
    <col min="3" max="3" width="6.54296875" customWidth="1"/>
    <col min="4" max="7" width="5.7265625" customWidth="1"/>
    <col min="8" max="8" width="6.7265625" customWidth="1"/>
    <col min="9" max="9" width="1.1796875" customWidth="1"/>
    <col min="10" max="10" width="20.81640625" customWidth="1"/>
  </cols>
  <sheetData>
    <row r="1" spans="1:10">
      <c r="A1" t="s">
        <v>92</v>
      </c>
    </row>
    <row r="2" spans="1:10">
      <c r="A2" t="s">
        <v>74</v>
      </c>
    </row>
    <row r="3" spans="1:10">
      <c r="A3" t="s">
        <v>76</v>
      </c>
    </row>
    <row r="5" spans="1:10">
      <c r="D5" s="2" t="s">
        <v>1</v>
      </c>
      <c r="E5" s="2" t="s">
        <v>3</v>
      </c>
      <c r="F5" s="2" t="s">
        <v>2</v>
      </c>
      <c r="G5" s="3" t="s">
        <v>0</v>
      </c>
      <c r="H5" s="2" t="s">
        <v>52</v>
      </c>
      <c r="I5" s="2"/>
    </row>
    <row r="6" spans="1:10" ht="13">
      <c r="A6" s="11" t="s">
        <v>376</v>
      </c>
      <c r="G6" s="1"/>
    </row>
    <row r="7" spans="1:10" ht="13">
      <c r="A7" s="18" t="s">
        <v>11</v>
      </c>
      <c r="B7" t="s">
        <v>48</v>
      </c>
      <c r="C7" t="s">
        <v>12</v>
      </c>
      <c r="D7" s="19">
        <f>'[1]Schnittkräfte S1'!D15</f>
        <v>0.24</v>
      </c>
      <c r="E7" s="19">
        <f>'[1]Schnittkräfte S1'!E15</f>
        <v>0.24</v>
      </c>
      <c r="F7" s="19">
        <f>'[1]Schnittkräfte S1'!F15</f>
        <v>0.24</v>
      </c>
      <c r="G7" s="19">
        <f>'[1]Schnittkräfte S1'!G15</f>
        <v>0.24</v>
      </c>
      <c r="H7" s="17">
        <v>0.24</v>
      </c>
      <c r="I7" s="17"/>
    </row>
    <row r="8" spans="1:10" ht="13">
      <c r="A8" t="s">
        <v>55</v>
      </c>
      <c r="B8" t="s">
        <v>51</v>
      </c>
      <c r="C8" t="s">
        <v>12</v>
      </c>
      <c r="D8" s="19">
        <f>'[1]Schnittkräfte S1'!D16</f>
        <v>2.62</v>
      </c>
      <c r="E8" s="19">
        <f>'[1]Schnittkräfte S1'!E16</f>
        <v>2.6749999999999998</v>
      </c>
      <c r="F8" s="19">
        <f>'[1]Schnittkräfte S1'!F16</f>
        <v>2.6749999999999998</v>
      </c>
      <c r="G8" s="19">
        <f>'[1]Schnittkräfte S1'!G16</f>
        <v>2.6749999999999998</v>
      </c>
      <c r="H8" s="16">
        <v>2.625</v>
      </c>
      <c r="I8" s="16"/>
    </row>
    <row r="9" spans="1:10" ht="13">
      <c r="A9" t="s">
        <v>6</v>
      </c>
      <c r="C9" t="s">
        <v>12</v>
      </c>
      <c r="D9" s="19">
        <f>'[1]Schnittkräfte S1'!D7</f>
        <v>4.96</v>
      </c>
      <c r="E9" s="19">
        <f>'[1]Schnittkräfte S1'!E7</f>
        <v>4.96</v>
      </c>
      <c r="F9" s="19">
        <f>'[1]Schnittkräfte S1'!F7</f>
        <v>4.96</v>
      </c>
      <c r="G9" s="19">
        <f>'[1]Schnittkräfte S1'!G7</f>
        <v>4.96</v>
      </c>
      <c r="H9" s="17">
        <v>4.96</v>
      </c>
      <c r="I9" s="17"/>
    </row>
    <row r="10" spans="1:10" ht="13">
      <c r="A10" t="s">
        <v>54</v>
      </c>
      <c r="D10" s="24">
        <f>'[1]Schnittkräfte S1'!D8</f>
        <v>0.183</v>
      </c>
      <c r="E10" s="24">
        <f>'[1]Schnittkräfte S1'!E8</f>
        <v>0.183</v>
      </c>
      <c r="F10" s="24">
        <f>'[1]Schnittkräfte S1'!F8</f>
        <v>0.183</v>
      </c>
      <c r="G10" s="24">
        <f>'[1]Schnittkräfte S1'!G8</f>
        <v>0.183</v>
      </c>
      <c r="H10" s="25">
        <v>0.183</v>
      </c>
      <c r="I10" s="20"/>
    </row>
    <row r="11" spans="1:10">
      <c r="A11" t="s">
        <v>4</v>
      </c>
      <c r="C11" s="18" t="s">
        <v>131</v>
      </c>
      <c r="D11" s="5">
        <f>D9*D9*D10</f>
        <v>4.5020927999999998</v>
      </c>
      <c r="E11" s="5">
        <f>E9*E9*E10</f>
        <v>4.5020927999999998</v>
      </c>
      <c r="F11" s="5">
        <f>F9*F9*F10</f>
        <v>4.5020927999999998</v>
      </c>
      <c r="G11" s="5">
        <f>G9*G9*G10</f>
        <v>4.5020927999999998</v>
      </c>
      <c r="H11" s="5">
        <f>H9*H9*H10</f>
        <v>4.5020927999999998</v>
      </c>
      <c r="I11" s="5"/>
      <c r="J11" t="s">
        <v>96</v>
      </c>
    </row>
    <row r="12" spans="1:10" s="6" customFormat="1" ht="13">
      <c r="A12" s="15" t="s">
        <v>26</v>
      </c>
      <c r="D12" s="7"/>
      <c r="E12" s="7"/>
      <c r="F12" s="7"/>
      <c r="G12" s="7"/>
    </row>
    <row r="13" spans="1:10" ht="13">
      <c r="A13" t="s">
        <v>25</v>
      </c>
      <c r="C13" s="18" t="s">
        <v>132</v>
      </c>
      <c r="D13" s="19">
        <f>'[1]Schnittkräfte S1'!D11</f>
        <v>4.5999999999999996</v>
      </c>
      <c r="E13" s="19">
        <f>'[1]Schnittkräfte S1'!E11</f>
        <v>6.5</v>
      </c>
      <c r="F13" s="19">
        <f>'[1]Schnittkräfte S1'!F11</f>
        <v>6.5</v>
      </c>
      <c r="G13" s="19">
        <f>'[1]Schnittkräfte S1'!G11</f>
        <v>6.5</v>
      </c>
      <c r="H13" s="17">
        <v>6.5</v>
      </c>
      <c r="I13" s="17"/>
    </row>
    <row r="14" spans="1:10">
      <c r="A14" t="s">
        <v>45</v>
      </c>
      <c r="C14" t="s">
        <v>7</v>
      </c>
      <c r="D14" s="1">
        <f>D13*D11</f>
        <v>20.709626879999998</v>
      </c>
      <c r="E14" s="1">
        <f>E13*E11</f>
        <v>29.263603199999999</v>
      </c>
      <c r="F14" s="1">
        <f>F13*F11</f>
        <v>29.263603199999999</v>
      </c>
      <c r="G14" s="1">
        <f>G13*G11</f>
        <v>29.263603199999999</v>
      </c>
      <c r="H14" s="1">
        <f>H13*H11</f>
        <v>29.263603199999999</v>
      </c>
      <c r="I14" s="1"/>
    </row>
    <row r="15" spans="1:10">
      <c r="A15" t="s">
        <v>46</v>
      </c>
      <c r="C15" t="s">
        <v>8</v>
      </c>
      <c r="D15" s="1">
        <f>D14/D9</f>
        <v>4.1753279999999995</v>
      </c>
      <c r="E15" s="1">
        <f>E14/E9</f>
        <v>5.8999199999999998</v>
      </c>
      <c r="F15" s="1">
        <f>F14/F9</f>
        <v>5.8999199999999998</v>
      </c>
      <c r="G15" s="1">
        <f>G14/G9</f>
        <v>5.8999199999999998</v>
      </c>
      <c r="H15" s="1">
        <f>H14/H9</f>
        <v>5.8999199999999998</v>
      </c>
      <c r="I15" s="1"/>
    </row>
    <row r="16" spans="1:10" s="6" customFormat="1" ht="13">
      <c r="A16" s="15" t="s">
        <v>24</v>
      </c>
      <c r="D16" s="7"/>
      <c r="E16" s="7"/>
      <c r="F16" s="7"/>
      <c r="G16" s="7"/>
    </row>
    <row r="17" spans="1:9" ht="13">
      <c r="A17" t="s">
        <v>14</v>
      </c>
      <c r="C17" s="18" t="s">
        <v>107</v>
      </c>
      <c r="D17" s="19">
        <f>'[1]Schnittkräfte S1'!D17</f>
        <v>20</v>
      </c>
      <c r="E17" s="19">
        <f>'[1]Schnittkräfte S1'!E17</f>
        <v>20</v>
      </c>
      <c r="F17" s="19">
        <f>'[1]Schnittkräfte S1'!F17</f>
        <v>20</v>
      </c>
      <c r="G17" s="19">
        <f>'[1]Schnittkräfte S1'!G17</f>
        <v>20</v>
      </c>
      <c r="H17" s="17">
        <v>20</v>
      </c>
      <c r="I17" s="17"/>
    </row>
    <row r="18" spans="1:9">
      <c r="A18" t="s">
        <v>42</v>
      </c>
      <c r="C18" s="18" t="s">
        <v>132</v>
      </c>
      <c r="D18" s="1">
        <f t="shared" ref="D18:H19" si="0">D17*D7</f>
        <v>4.8</v>
      </c>
      <c r="E18" s="1">
        <f t="shared" si="0"/>
        <v>4.8</v>
      </c>
      <c r="F18" s="1">
        <f t="shared" si="0"/>
        <v>4.8</v>
      </c>
      <c r="G18" s="1">
        <f t="shared" si="0"/>
        <v>4.8</v>
      </c>
      <c r="H18" s="1">
        <f t="shared" si="0"/>
        <v>4.8</v>
      </c>
      <c r="I18" s="1"/>
    </row>
    <row r="19" spans="1:9">
      <c r="A19" t="s">
        <v>43</v>
      </c>
      <c r="C19" t="s">
        <v>8</v>
      </c>
      <c r="D19" s="1">
        <f>D18*D8</f>
        <v>12.576000000000001</v>
      </c>
      <c r="E19" s="1">
        <f t="shared" si="0"/>
        <v>12.839999999999998</v>
      </c>
      <c r="F19" s="1">
        <f t="shared" si="0"/>
        <v>12.839999999999998</v>
      </c>
      <c r="G19" s="1">
        <f t="shared" si="0"/>
        <v>12.839999999999998</v>
      </c>
      <c r="H19" s="1">
        <f t="shared" si="0"/>
        <v>12.6</v>
      </c>
      <c r="I19" s="1"/>
    </row>
    <row r="20" spans="1:9" ht="13">
      <c r="A20" t="s">
        <v>15</v>
      </c>
      <c r="C20" s="18" t="s">
        <v>132</v>
      </c>
      <c r="D20" s="19">
        <f>'[1]Schnittkräfte S1'!D20</f>
        <v>0.5</v>
      </c>
      <c r="E20" s="19">
        <f>'[1]Schnittkräfte S1'!E20</f>
        <v>0.5</v>
      </c>
      <c r="F20" s="19">
        <f>'[1]Schnittkräfte S1'!F20</f>
        <v>0.5</v>
      </c>
      <c r="G20" s="19">
        <f>'[1]Schnittkräfte S1'!G20</f>
        <v>0.5</v>
      </c>
      <c r="H20" s="17">
        <v>0</v>
      </c>
      <c r="I20" s="17"/>
    </row>
    <row r="21" spans="1:9">
      <c r="A21" t="s">
        <v>44</v>
      </c>
      <c r="C21" t="s">
        <v>8</v>
      </c>
      <c r="D21" s="1">
        <f>D20*D8</f>
        <v>1.31</v>
      </c>
      <c r="E21" s="1">
        <f>E20*E8</f>
        <v>1.3374999999999999</v>
      </c>
      <c r="F21" s="1">
        <f>F20*F8</f>
        <v>1.3374999999999999</v>
      </c>
      <c r="G21" s="1">
        <f>G20*G8</f>
        <v>1.3374999999999999</v>
      </c>
      <c r="H21" s="1">
        <f>H20*H8</f>
        <v>0</v>
      </c>
      <c r="I21" s="1"/>
    </row>
    <row r="22" spans="1:9">
      <c r="A22" t="s">
        <v>53</v>
      </c>
      <c r="C22" t="s">
        <v>8</v>
      </c>
      <c r="D22" s="1">
        <f>D19+D21</f>
        <v>13.886000000000001</v>
      </c>
      <c r="E22" s="1">
        <f>E19+E21</f>
        <v>14.177499999999998</v>
      </c>
      <c r="F22" s="1">
        <f>F19+F21</f>
        <v>14.177499999999998</v>
      </c>
      <c r="G22" s="1">
        <f>G19+G21</f>
        <v>14.177499999999998</v>
      </c>
      <c r="H22" s="1">
        <f>H19+H21</f>
        <v>12.6</v>
      </c>
      <c r="I22" s="1"/>
    </row>
    <row r="23" spans="1:9" s="6" customFormat="1">
      <c r="A23" s="6" t="s">
        <v>58</v>
      </c>
      <c r="D23" s="7"/>
      <c r="E23" s="7"/>
      <c r="F23" s="7"/>
      <c r="G23" s="7"/>
    </row>
    <row r="24" spans="1:9">
      <c r="A24" t="s">
        <v>32</v>
      </c>
      <c r="C24" t="s">
        <v>8</v>
      </c>
      <c r="D24" s="14">
        <f>D15</f>
        <v>4.1753279999999995</v>
      </c>
      <c r="E24" s="14">
        <f>D26+E15</f>
        <v>23.961247999999998</v>
      </c>
      <c r="F24" s="14">
        <f>E26+F15</f>
        <v>44.038667999999994</v>
      </c>
      <c r="G24" s="14">
        <f>F26+G15</f>
        <v>64.116087999999991</v>
      </c>
      <c r="H24" s="14">
        <f>G26+H15</f>
        <v>84.19350799999998</v>
      </c>
      <c r="I24" s="1"/>
    </row>
    <row r="25" spans="1:9">
      <c r="A25" t="s">
        <v>33</v>
      </c>
      <c r="C25" t="s">
        <v>8</v>
      </c>
      <c r="D25" s="14">
        <f>D15+D22/2</f>
        <v>11.118328</v>
      </c>
      <c r="E25" s="14">
        <f>E24+E22/2</f>
        <v>31.049997999999995</v>
      </c>
      <c r="F25" s="14">
        <f>F24+F22/2</f>
        <v>51.127417999999992</v>
      </c>
      <c r="G25" s="14">
        <f>G24+G22/2</f>
        <v>71.204837999999995</v>
      </c>
      <c r="H25" s="14">
        <f>H24+H22/2</f>
        <v>90.493507999999977</v>
      </c>
      <c r="I25" s="1"/>
    </row>
    <row r="26" spans="1:9">
      <c r="A26" t="s">
        <v>34</v>
      </c>
      <c r="C26" t="s">
        <v>8</v>
      </c>
      <c r="D26" s="14">
        <f>D15+D22</f>
        <v>18.061328</v>
      </c>
      <c r="E26" s="14">
        <f>E24+E22</f>
        <v>38.138747999999993</v>
      </c>
      <c r="F26" s="14">
        <f>F24+F22</f>
        <v>58.216167999999996</v>
      </c>
      <c r="G26" s="14">
        <f>G24+G22</f>
        <v>78.293587999999986</v>
      </c>
      <c r="H26" s="14">
        <f>H24+H22</f>
        <v>96.793507999999974</v>
      </c>
      <c r="I26" s="1"/>
    </row>
    <row r="27" spans="1:9" ht="13">
      <c r="A27" t="s">
        <v>17</v>
      </c>
      <c r="D27" s="1"/>
      <c r="E27" s="1"/>
      <c r="F27" s="1"/>
      <c r="G27" s="17">
        <v>1.35</v>
      </c>
      <c r="H27" s="17">
        <v>1.35</v>
      </c>
      <c r="I27" s="17"/>
    </row>
    <row r="28" spans="1:9" s="6" customFormat="1" ht="13">
      <c r="A28" s="15" t="s">
        <v>27</v>
      </c>
      <c r="D28" s="7"/>
      <c r="E28" s="7"/>
      <c r="F28" s="7"/>
      <c r="G28" s="7"/>
    </row>
    <row r="29" spans="1:9" ht="13">
      <c r="A29" t="s">
        <v>25</v>
      </c>
      <c r="C29" s="18" t="s">
        <v>132</v>
      </c>
      <c r="D29" s="19">
        <f>'[1]Schnittkräfte S1'!D29</f>
        <v>0</v>
      </c>
      <c r="E29" s="19">
        <f>'[1]Schnittkräfte S1'!E29</f>
        <v>3.2</v>
      </c>
      <c r="F29" s="19">
        <f>'[1]Schnittkräfte S1'!F29</f>
        <v>3.2</v>
      </c>
      <c r="G29" s="19">
        <f>'[1]Schnittkräfte S1'!G29</f>
        <v>3.2</v>
      </c>
      <c r="H29" s="17">
        <v>3.2</v>
      </c>
      <c r="I29" s="17"/>
    </row>
    <row r="30" spans="1:9">
      <c r="A30" t="s">
        <v>45</v>
      </c>
      <c r="C30" t="s">
        <v>7</v>
      </c>
      <c r="D30" s="1">
        <f>D29*D11</f>
        <v>0</v>
      </c>
      <c r="E30" s="1">
        <f>E29*E11</f>
        <v>14.40669696</v>
      </c>
      <c r="F30" s="1">
        <f>F29*F11</f>
        <v>14.40669696</v>
      </c>
      <c r="G30" s="1">
        <f>G29*G11</f>
        <v>14.40669696</v>
      </c>
      <c r="H30" s="1">
        <f>H29*H11</f>
        <v>14.40669696</v>
      </c>
      <c r="I30" s="1"/>
    </row>
    <row r="31" spans="1:9">
      <c r="A31" t="s">
        <v>46</v>
      </c>
      <c r="C31" t="s">
        <v>8</v>
      </c>
      <c r="D31" s="1">
        <f>D30/D9</f>
        <v>0</v>
      </c>
      <c r="E31" s="1">
        <f>E30/E9</f>
        <v>2.904576</v>
      </c>
      <c r="F31" s="1">
        <f>F30/F9</f>
        <v>2.904576</v>
      </c>
      <c r="G31" s="1">
        <f>G30/G9</f>
        <v>2.904576</v>
      </c>
      <c r="H31" s="1">
        <f>H30/H9</f>
        <v>2.904576</v>
      </c>
      <c r="I31" s="1"/>
    </row>
    <row r="32" spans="1:9">
      <c r="A32" t="s">
        <v>28</v>
      </c>
      <c r="C32" t="s">
        <v>8</v>
      </c>
      <c r="D32" s="1">
        <f>D31</f>
        <v>0</v>
      </c>
      <c r="E32" s="1">
        <f>D32+E31</f>
        <v>2.904576</v>
      </c>
      <c r="F32" s="1">
        <f>E32+F31</f>
        <v>5.8091520000000001</v>
      </c>
      <c r="G32" s="1">
        <f>F32+G31</f>
        <v>8.7137279999999997</v>
      </c>
      <c r="H32" s="1">
        <f>G32+H31</f>
        <v>11.618304</v>
      </c>
      <c r="I32" s="1"/>
    </row>
    <row r="33" spans="1:9" ht="13">
      <c r="A33" t="s">
        <v>18</v>
      </c>
      <c r="D33" s="1"/>
      <c r="E33" s="1"/>
      <c r="F33" s="1"/>
      <c r="G33" s="17">
        <v>1.5</v>
      </c>
      <c r="H33" s="17">
        <v>1.5</v>
      </c>
      <c r="I33" s="17"/>
    </row>
    <row r="34" spans="1:9" s="6" customFormat="1" ht="13">
      <c r="A34" s="15" t="s">
        <v>160</v>
      </c>
      <c r="D34" s="7"/>
      <c r="E34" s="7"/>
      <c r="F34" s="7"/>
      <c r="G34" s="12"/>
    </row>
    <row r="35" spans="1:9">
      <c r="A35" t="s">
        <v>32</v>
      </c>
      <c r="B35" t="s">
        <v>60</v>
      </c>
      <c r="C35" t="s">
        <v>8</v>
      </c>
      <c r="G35" s="14">
        <f>G24*G27+G32*G33</f>
        <v>99.627310800000004</v>
      </c>
      <c r="H35" s="14">
        <f>H24*H27+H32*H33</f>
        <v>131.08869179999999</v>
      </c>
      <c r="I35" s="9"/>
    </row>
    <row r="36" spans="1:9">
      <c r="A36" t="s">
        <v>33</v>
      </c>
      <c r="B36" t="s">
        <v>61</v>
      </c>
      <c r="C36" t="s">
        <v>8</v>
      </c>
      <c r="G36" s="14">
        <f>G25*G27+G32*G33</f>
        <v>109.1971233</v>
      </c>
      <c r="H36" s="22">
        <f>H25*H27+H32*H33</f>
        <v>139.59369179999999</v>
      </c>
      <c r="I36" s="9"/>
    </row>
    <row r="37" spans="1:9">
      <c r="A37" t="s">
        <v>34</v>
      </c>
      <c r="B37" t="s">
        <v>62</v>
      </c>
      <c r="C37" t="s">
        <v>8</v>
      </c>
      <c r="G37" s="14">
        <f>G26*G27+G32*G33</f>
        <v>118.7669358</v>
      </c>
      <c r="H37" s="14">
        <f>H26*H27+H32*H33</f>
        <v>148.09869179999998</v>
      </c>
      <c r="I37" s="9"/>
    </row>
    <row r="38" spans="1:9" s="6" customFormat="1" ht="13">
      <c r="A38" s="15" t="s">
        <v>161</v>
      </c>
      <c r="G38" s="10"/>
      <c r="H38" s="10"/>
      <c r="I38" s="10"/>
    </row>
    <row r="39" spans="1:9" ht="13">
      <c r="A39" t="s">
        <v>56</v>
      </c>
      <c r="B39" t="s">
        <v>162</v>
      </c>
      <c r="C39" t="s">
        <v>12</v>
      </c>
      <c r="H39" s="17">
        <v>2.08</v>
      </c>
      <c r="I39" s="9"/>
    </row>
    <row r="40" spans="1:9" ht="13">
      <c r="A40" t="s">
        <v>163</v>
      </c>
      <c r="C40" s="18" t="s">
        <v>132</v>
      </c>
      <c r="G40" s="9"/>
      <c r="H40" s="17">
        <v>5</v>
      </c>
      <c r="I40" s="9"/>
    </row>
    <row r="41" spans="1:9" ht="13">
      <c r="A41" t="s">
        <v>164</v>
      </c>
      <c r="C41" t="s">
        <v>57</v>
      </c>
      <c r="G41" s="9"/>
      <c r="H41" s="17">
        <v>1.5</v>
      </c>
      <c r="I41" s="9"/>
    </row>
    <row r="42" spans="1:9" ht="13">
      <c r="A42" t="s">
        <v>59</v>
      </c>
      <c r="C42" s="18" t="s">
        <v>107</v>
      </c>
      <c r="G42" s="9"/>
      <c r="H42" s="21">
        <v>18</v>
      </c>
      <c r="I42" s="9"/>
    </row>
    <row r="43" spans="1:9" ht="13">
      <c r="A43" t="s">
        <v>165</v>
      </c>
      <c r="C43" t="s">
        <v>57</v>
      </c>
      <c r="G43" s="9"/>
      <c r="H43" s="17">
        <v>1.35</v>
      </c>
      <c r="I43" s="9"/>
    </row>
    <row r="44" spans="1:9" ht="13">
      <c r="A44" t="s">
        <v>166</v>
      </c>
      <c r="B44" s="18" t="s">
        <v>354</v>
      </c>
      <c r="C44" t="s">
        <v>57</v>
      </c>
      <c r="G44" s="9"/>
      <c r="H44" s="17">
        <v>0.3</v>
      </c>
      <c r="I44" s="9"/>
    </row>
    <row r="45" spans="1:9">
      <c r="A45" t="s">
        <v>167</v>
      </c>
      <c r="C45" s="18" t="s">
        <v>132</v>
      </c>
      <c r="G45" s="9"/>
      <c r="H45" s="5">
        <f>H40*H41*H44</f>
        <v>2.25</v>
      </c>
      <c r="I45" s="9"/>
    </row>
    <row r="46" spans="1:9">
      <c r="A46" t="s">
        <v>168</v>
      </c>
      <c r="C46" s="18" t="s">
        <v>132</v>
      </c>
      <c r="G46" s="9"/>
      <c r="H46" s="5">
        <f>H39*H42*H43*H44</f>
        <v>15.163199999999998</v>
      </c>
      <c r="I46" s="9"/>
    </row>
    <row r="47" spans="1:9" ht="13">
      <c r="A47" t="s">
        <v>169</v>
      </c>
      <c r="B47" s="18" t="s">
        <v>356</v>
      </c>
      <c r="C47" t="s">
        <v>57</v>
      </c>
      <c r="G47" s="9"/>
      <c r="H47" s="17">
        <v>0.46</v>
      </c>
      <c r="I47" s="9"/>
    </row>
    <row r="48" spans="1:9">
      <c r="A48" t="s">
        <v>170</v>
      </c>
      <c r="C48" s="18" t="s">
        <v>132</v>
      </c>
      <c r="G48" s="9"/>
      <c r="H48" s="5">
        <f>H40*H41*H47</f>
        <v>3.45</v>
      </c>
      <c r="I48" s="9"/>
    </row>
    <row r="49" spans="1:12">
      <c r="A49" t="s">
        <v>171</v>
      </c>
      <c r="C49" s="18" t="s">
        <v>132</v>
      </c>
      <c r="G49" s="9"/>
      <c r="H49" s="5">
        <f>H39*H42*H43*H47</f>
        <v>23.250239999999998</v>
      </c>
      <c r="I49" s="9"/>
    </row>
    <row r="50" spans="1:12">
      <c r="A50" t="s">
        <v>172</v>
      </c>
      <c r="B50" t="s">
        <v>173</v>
      </c>
      <c r="C50" s="18" t="s">
        <v>132</v>
      </c>
      <c r="G50" s="9"/>
      <c r="H50" s="5">
        <f>(H45+H48)/2</f>
        <v>2.85</v>
      </c>
      <c r="I50" s="9"/>
    </row>
    <row r="51" spans="1:12">
      <c r="A51" t="s">
        <v>174</v>
      </c>
      <c r="B51" t="s">
        <v>175</v>
      </c>
      <c r="C51" s="18" t="s">
        <v>132</v>
      </c>
      <c r="G51" s="9"/>
      <c r="H51" s="5">
        <f>(H46+H49)/2</f>
        <v>19.206719999999997</v>
      </c>
      <c r="I51" s="9"/>
    </row>
    <row r="52" spans="1:12">
      <c r="G52" s="9"/>
      <c r="H52" s="5"/>
      <c r="I52" s="9"/>
    </row>
    <row r="53" spans="1:12" s="6" customFormat="1" ht="13">
      <c r="A53" s="15" t="s">
        <v>357</v>
      </c>
      <c r="G53" s="10"/>
      <c r="H53" s="69"/>
      <c r="I53" s="10"/>
    </row>
    <row r="54" spans="1:12">
      <c r="A54" s="18" t="s">
        <v>89</v>
      </c>
      <c r="B54" s="18" t="s">
        <v>63</v>
      </c>
      <c r="C54" s="18" t="s">
        <v>132</v>
      </c>
      <c r="G54" s="9"/>
      <c r="H54" s="5">
        <f>'Schnittkräfte S1'!G42</f>
        <v>4.08</v>
      </c>
      <c r="I54" s="9"/>
      <c r="J54" t="s">
        <v>91</v>
      </c>
    </row>
    <row r="55" spans="1:12" ht="15.5">
      <c r="A55" s="18" t="s">
        <v>176</v>
      </c>
      <c r="B55" s="18" t="s">
        <v>177</v>
      </c>
      <c r="C55" s="27" t="s">
        <v>8</v>
      </c>
      <c r="G55" s="9"/>
      <c r="H55" s="22">
        <f>H24+((H8-H39)+0.5*H39)*H18</f>
        <v>91.801507999999984</v>
      </c>
      <c r="I55" s="9"/>
      <c r="K55" s="18" t="s">
        <v>355</v>
      </c>
    </row>
    <row r="56" spans="1:12">
      <c r="A56" s="18" t="s">
        <v>178</v>
      </c>
      <c r="B56" s="18" t="s">
        <v>179</v>
      </c>
      <c r="C56" t="s">
        <v>8</v>
      </c>
      <c r="G56" s="9"/>
      <c r="H56" s="22">
        <f>0.5*(H44+H47)*H42*H8*H39^2/(7.8*H7)</f>
        <v>41.496000000000009</v>
      </c>
      <c r="I56" s="9"/>
      <c r="J56" t="s">
        <v>180</v>
      </c>
      <c r="L56" s="1"/>
    </row>
    <row r="57" spans="1:12">
      <c r="A57" t="s">
        <v>181</v>
      </c>
      <c r="B57" t="s">
        <v>182</v>
      </c>
      <c r="C57" t="s">
        <v>8</v>
      </c>
      <c r="G57" s="9"/>
      <c r="H57" s="70">
        <f>H7*H54*0.33*1000</f>
        <v>323.13599999999997</v>
      </c>
      <c r="I57" s="9"/>
      <c r="J57" t="s">
        <v>183</v>
      </c>
    </row>
    <row r="58" spans="1:12" ht="15.5">
      <c r="A58" s="18" t="s">
        <v>133</v>
      </c>
      <c r="B58" s="44" t="s">
        <v>157</v>
      </c>
      <c r="H58">
        <f>H56/H55</f>
        <v>0.452018718472468</v>
      </c>
      <c r="I58" s="9"/>
    </row>
    <row r="59" spans="1:12" ht="15.5">
      <c r="B59" s="44" t="s">
        <v>158</v>
      </c>
      <c r="H59">
        <f>H36/H57</f>
        <v>0.43199671902852049</v>
      </c>
      <c r="I59" s="9"/>
    </row>
    <row r="60" spans="1:12">
      <c r="G60" s="9"/>
      <c r="H60" s="5"/>
      <c r="I60" s="9"/>
    </row>
    <row r="61" spans="1:12" s="6" customFormat="1" ht="13">
      <c r="A61" s="15" t="s">
        <v>184</v>
      </c>
    </row>
    <row r="62" spans="1:12">
      <c r="A62" t="s">
        <v>185</v>
      </c>
      <c r="C62" t="s">
        <v>57</v>
      </c>
      <c r="H62" s="9">
        <f>H39/H8</f>
        <v>0.79238095238095241</v>
      </c>
      <c r="I62" s="9"/>
    </row>
    <row r="63" spans="1:12">
      <c r="A63" t="s">
        <v>186</v>
      </c>
      <c r="B63" t="s">
        <v>187</v>
      </c>
      <c r="C63" t="s">
        <v>8</v>
      </c>
      <c r="H63" s="9">
        <f>(1-H62/2)*H50*H39</f>
        <v>3.5793828571428574</v>
      </c>
      <c r="I63" s="9"/>
      <c r="J63" t="s">
        <v>188</v>
      </c>
    </row>
    <row r="64" spans="1:12">
      <c r="A64" t="s">
        <v>189</v>
      </c>
      <c r="B64" t="s">
        <v>190</v>
      </c>
      <c r="C64" t="s">
        <v>8</v>
      </c>
      <c r="H64" s="9">
        <f>(1-H62/3)*H51*0.5*H39</f>
        <v>14.699055250285712</v>
      </c>
      <c r="I64" s="9"/>
      <c r="J64" t="s">
        <v>188</v>
      </c>
    </row>
    <row r="65" spans="1:11" ht="13">
      <c r="A65" t="s">
        <v>191</v>
      </c>
      <c r="B65" t="s">
        <v>192</v>
      </c>
      <c r="C65" t="s">
        <v>8</v>
      </c>
      <c r="H65" s="71">
        <f>H64+H63</f>
        <v>18.27843810742857</v>
      </c>
      <c r="I65" s="9"/>
    </row>
    <row r="66" spans="1:11">
      <c r="A66" t="s">
        <v>193</v>
      </c>
      <c r="B66" t="s">
        <v>194</v>
      </c>
      <c r="C66" s="18" t="s">
        <v>132</v>
      </c>
      <c r="H66" s="9">
        <f>H51*(H39-H8/2)/H39+H50</f>
        <v>9.9370949999999993</v>
      </c>
      <c r="I66" s="9"/>
    </row>
    <row r="67" spans="1:11">
      <c r="A67" t="s">
        <v>195</v>
      </c>
      <c r="B67" t="s">
        <v>196</v>
      </c>
      <c r="C67" t="s">
        <v>197</v>
      </c>
      <c r="H67" s="9">
        <f>H65*H8/2-(H66)*(H8/2)^2/2-1/2*(H51-H66+H50)*(H8/2)^2*2/3</f>
        <v>8.4720346937343738</v>
      </c>
      <c r="I67" s="9"/>
      <c r="J67" t="s">
        <v>198</v>
      </c>
    </row>
    <row r="68" spans="1:11">
      <c r="H68" s="9"/>
      <c r="I68" s="9"/>
    </row>
    <row r="69" spans="1:11" s="6" customFormat="1" ht="13">
      <c r="A69" s="15" t="s">
        <v>199</v>
      </c>
      <c r="H69" s="10"/>
      <c r="I69" s="10"/>
    </row>
    <row r="70" spans="1:11" ht="13">
      <c r="A70" t="s">
        <v>200</v>
      </c>
      <c r="B70" t="s">
        <v>201</v>
      </c>
      <c r="C70" s="18" t="s">
        <v>150</v>
      </c>
      <c r="H70" s="16">
        <v>0.08</v>
      </c>
      <c r="J70" s="5" t="s">
        <v>202</v>
      </c>
    </row>
    <row r="71" spans="1:11">
      <c r="A71" s="18" t="s">
        <v>203</v>
      </c>
      <c r="B71" s="18" t="s">
        <v>204</v>
      </c>
      <c r="C71" s="18" t="s">
        <v>12</v>
      </c>
      <c r="H71" s="1">
        <f>0.45*H7</f>
        <v>0.108</v>
      </c>
      <c r="I71" s="9"/>
      <c r="J71" s="18" t="s">
        <v>205</v>
      </c>
    </row>
    <row r="72" spans="1:11">
      <c r="A72" s="18" t="s">
        <v>206</v>
      </c>
      <c r="B72" s="18" t="s">
        <v>207</v>
      </c>
      <c r="C72" s="18" t="s">
        <v>12</v>
      </c>
      <c r="H72" s="5">
        <f>MIN(1.5*(1-2*H71/H7)*H7,H7)</f>
        <v>3.599999999999999E-2</v>
      </c>
      <c r="I72" s="9"/>
      <c r="J72" s="18" t="s">
        <v>208</v>
      </c>
    </row>
    <row r="73" spans="1:11">
      <c r="A73" s="18" t="s">
        <v>209</v>
      </c>
      <c r="B73" s="18" t="s">
        <v>210</v>
      </c>
      <c r="C73" s="18" t="s">
        <v>12</v>
      </c>
      <c r="H73" s="1">
        <f>MIN(1.25*H72,H7)</f>
        <v>4.4999999999999984E-2</v>
      </c>
      <c r="I73" s="9"/>
      <c r="J73" s="18" t="s">
        <v>211</v>
      </c>
    </row>
    <row r="74" spans="1:11">
      <c r="A74" s="18" t="s">
        <v>212</v>
      </c>
      <c r="B74" s="18" t="s">
        <v>213</v>
      </c>
      <c r="C74" s="18" t="s">
        <v>150</v>
      </c>
      <c r="H74" s="1">
        <f>H37/H73/1000</f>
        <v>3.2910820400000005</v>
      </c>
      <c r="I74" s="9"/>
    </row>
    <row r="75" spans="1:11">
      <c r="A75" s="18" t="s">
        <v>214</v>
      </c>
      <c r="B75" s="18" t="s">
        <v>215</v>
      </c>
      <c r="C75" s="18" t="s">
        <v>150</v>
      </c>
      <c r="H75" s="1">
        <f>H70+0.6*H74</f>
        <v>2.0546492240000003</v>
      </c>
      <c r="I75" s="9"/>
      <c r="J75" s="18" t="s">
        <v>216</v>
      </c>
      <c r="K75" s="18" t="s">
        <v>358</v>
      </c>
    </row>
    <row r="76" spans="1:11">
      <c r="A76" s="18" t="s">
        <v>217</v>
      </c>
      <c r="B76" s="18" t="s">
        <v>218</v>
      </c>
      <c r="H76" s="9">
        <v>1.5</v>
      </c>
      <c r="I76" s="9"/>
      <c r="J76" s="18" t="s">
        <v>208</v>
      </c>
    </row>
    <row r="77" spans="1:11" ht="13">
      <c r="A77" s="18" t="s">
        <v>219</v>
      </c>
      <c r="B77" s="18" t="s">
        <v>220</v>
      </c>
      <c r="C77" s="18" t="s">
        <v>8</v>
      </c>
      <c r="H77" s="72">
        <f>H75*H73/H76*1000</f>
        <v>61.639476719999983</v>
      </c>
      <c r="I77" s="9"/>
    </row>
    <row r="78" spans="1:11">
      <c r="A78" s="18" t="s">
        <v>133</v>
      </c>
      <c r="B78" s="44" t="s">
        <v>51</v>
      </c>
      <c r="H78" s="1">
        <f>H65/H77</f>
        <v>0.2965378533380349</v>
      </c>
      <c r="I78" s="9"/>
    </row>
    <row r="79" spans="1:11">
      <c r="A79" s="18"/>
      <c r="B79" s="18"/>
      <c r="H79" s="9"/>
      <c r="I79" s="9"/>
    </row>
    <row r="80" spans="1:11">
      <c r="A80" s="18"/>
      <c r="B80" s="18"/>
      <c r="H80" s="9"/>
      <c r="I80" s="9"/>
    </row>
    <row r="81" spans="1:9">
      <c r="A81" s="18"/>
      <c r="B81" s="18"/>
      <c r="H81" s="9"/>
      <c r="I81" s="9"/>
    </row>
    <row r="82" spans="1:9">
      <c r="A82" s="18"/>
      <c r="B82" s="18"/>
      <c r="H82" s="9"/>
      <c r="I82" s="9"/>
    </row>
    <row r="83" spans="1:9">
      <c r="A83" s="18"/>
      <c r="B83" s="18"/>
      <c r="H83" s="9"/>
      <c r="I83" s="9"/>
    </row>
    <row r="84" spans="1:9">
      <c r="A84" s="18"/>
      <c r="B84" s="18"/>
      <c r="H84" s="9"/>
      <c r="I84" s="9"/>
    </row>
    <row r="85" spans="1:9">
      <c r="A85" s="18"/>
      <c r="B85" s="18"/>
      <c r="H85" s="9"/>
      <c r="I85" s="9"/>
    </row>
    <row r="86" spans="1:9">
      <c r="A86" s="18"/>
      <c r="B86" s="18"/>
      <c r="H86" s="9"/>
      <c r="I86" s="9"/>
    </row>
    <row r="87" spans="1:9">
      <c r="A87" s="18"/>
      <c r="B87" s="18"/>
      <c r="H87" s="9"/>
      <c r="I87" s="9"/>
    </row>
  </sheetData>
  <pageMargins left="0.64" right="0.46" top="0.82" bottom="0.49" header="0.4921259845" footer="0.4921259845"/>
  <pageSetup paperSize="9" orientation="portrait" r:id="rId1"/>
  <headerFooter alignWithMargins="0">
    <oddHeader>&amp;CMW 16.1.2015: Beispiel Kellerwand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K65"/>
  <sheetViews>
    <sheetView zoomScaleNormal="100" workbookViewId="0">
      <selection activeCell="D39" sqref="D39"/>
    </sheetView>
  </sheetViews>
  <sheetFormatPr baseColWidth="10" defaultRowHeight="12.5"/>
  <cols>
    <col min="1" max="1" width="31.453125" customWidth="1"/>
    <col min="2" max="2" width="8.453125" customWidth="1"/>
    <col min="3" max="3" width="8.54296875" customWidth="1"/>
    <col min="4" max="4" width="8.453125" customWidth="1"/>
    <col min="5" max="5" width="1.453125" customWidth="1"/>
    <col min="6" max="6" width="27.81640625" customWidth="1"/>
  </cols>
  <sheetData>
    <row r="1" spans="1:8">
      <c r="A1" t="s">
        <v>92</v>
      </c>
    </row>
    <row r="2" spans="1:8">
      <c r="A2" t="s">
        <v>74</v>
      </c>
    </row>
    <row r="3" spans="1:8">
      <c r="A3" t="s">
        <v>76</v>
      </c>
    </row>
    <row r="5" spans="1:8">
      <c r="A5" s="18" t="s">
        <v>223</v>
      </c>
    </row>
    <row r="6" spans="1:8">
      <c r="A6" s="18" t="s">
        <v>224</v>
      </c>
    </row>
    <row r="7" spans="1:8">
      <c r="D7" s="2" t="s">
        <v>52</v>
      </c>
      <c r="E7" s="2"/>
      <c r="F7" s="2"/>
      <c r="G7" s="3"/>
      <c r="H7" s="2"/>
    </row>
    <row r="8" spans="1:8" ht="13">
      <c r="A8" s="11" t="s">
        <v>225</v>
      </c>
      <c r="G8" s="1"/>
    </row>
    <row r="9" spans="1:8" ht="13">
      <c r="A9" s="18" t="s">
        <v>11</v>
      </c>
      <c r="B9" t="s">
        <v>48</v>
      </c>
      <c r="C9" t="s">
        <v>12</v>
      </c>
      <c r="D9" s="17">
        <v>0.24</v>
      </c>
      <c r="E9" s="19"/>
      <c r="F9" s="19"/>
      <c r="G9" s="19"/>
      <c r="H9" s="17"/>
    </row>
    <row r="10" spans="1:8" ht="13">
      <c r="A10" t="s">
        <v>55</v>
      </c>
      <c r="B10" t="s">
        <v>51</v>
      </c>
      <c r="C10" t="s">
        <v>12</v>
      </c>
      <c r="D10" s="16">
        <v>2.625</v>
      </c>
      <c r="E10" s="19"/>
      <c r="F10" s="19"/>
      <c r="G10" s="19"/>
      <c r="H10" s="16"/>
    </row>
    <row r="11" spans="1:8" ht="13">
      <c r="A11" t="s">
        <v>6</v>
      </c>
      <c r="B11" t="s">
        <v>226</v>
      </c>
      <c r="C11" t="s">
        <v>12</v>
      </c>
      <c r="D11" s="17">
        <f>4.96</f>
        <v>4.96</v>
      </c>
      <c r="E11" s="19"/>
      <c r="F11" s="19"/>
      <c r="G11" s="19"/>
      <c r="H11" s="17"/>
    </row>
    <row r="13" spans="1:8" ht="13">
      <c r="A13" s="15" t="s">
        <v>24</v>
      </c>
      <c r="B13" s="6"/>
      <c r="C13" s="6"/>
      <c r="D13" s="6"/>
      <c r="E13" s="7"/>
      <c r="F13" s="7"/>
      <c r="G13" s="7"/>
      <c r="H13" s="6"/>
    </row>
    <row r="14" spans="1:8" ht="13">
      <c r="A14" t="s">
        <v>14</v>
      </c>
      <c r="C14" s="18" t="s">
        <v>107</v>
      </c>
      <c r="D14" s="17">
        <v>20</v>
      </c>
      <c r="E14" s="19"/>
      <c r="F14" s="19"/>
      <c r="G14" s="19"/>
      <c r="H14" s="17"/>
    </row>
    <row r="15" spans="1:8">
      <c r="A15" t="s">
        <v>42</v>
      </c>
      <c r="C15" s="18" t="s">
        <v>132</v>
      </c>
      <c r="D15" s="1">
        <f>D14*D9</f>
        <v>4.8</v>
      </c>
      <c r="E15" s="1"/>
      <c r="F15" s="1"/>
      <c r="G15" s="1"/>
      <c r="H15" s="1"/>
    </row>
    <row r="16" spans="1:8">
      <c r="A16" t="s">
        <v>43</v>
      </c>
      <c r="C16" t="s">
        <v>8</v>
      </c>
      <c r="D16" s="1">
        <f>D15*D10</f>
        <v>12.6</v>
      </c>
      <c r="E16" s="1"/>
      <c r="F16" s="1"/>
      <c r="G16" s="1"/>
      <c r="H16" s="1"/>
    </row>
    <row r="17" spans="1:9" ht="13">
      <c r="A17" s="15" t="s">
        <v>26</v>
      </c>
      <c r="B17" s="6"/>
      <c r="C17" s="6"/>
      <c r="D17" s="7"/>
      <c r="E17" s="7"/>
      <c r="F17" s="7"/>
      <c r="G17" s="7"/>
      <c r="H17" s="6"/>
    </row>
    <row r="18" spans="1:9" ht="13">
      <c r="A18" t="s">
        <v>25</v>
      </c>
      <c r="C18" s="18" t="s">
        <v>132</v>
      </c>
      <c r="D18" s="17">
        <v>6.5</v>
      </c>
      <c r="E18" s="19"/>
      <c r="F18" s="19"/>
      <c r="G18" s="19"/>
    </row>
    <row r="19" spans="1:9">
      <c r="A19" t="s">
        <v>45</v>
      </c>
      <c r="C19" t="s">
        <v>7</v>
      </c>
      <c r="D19" s="1">
        <f>D18*4.5*0.18</f>
        <v>5.2649999999999997</v>
      </c>
      <c r="E19" s="1"/>
      <c r="F19" s="1"/>
      <c r="G19" s="1"/>
    </row>
    <row r="20" spans="1:9">
      <c r="A20" t="s">
        <v>46</v>
      </c>
      <c r="C20" t="s">
        <v>8</v>
      </c>
      <c r="D20" s="1">
        <f>D19/D11</f>
        <v>1.061491935483871</v>
      </c>
      <c r="E20" s="1"/>
      <c r="F20" s="1"/>
      <c r="G20" s="1"/>
    </row>
    <row r="21" spans="1:9">
      <c r="A21" s="6" t="s">
        <v>58</v>
      </c>
      <c r="B21" s="6"/>
      <c r="C21" s="6"/>
      <c r="D21" s="6"/>
      <c r="E21" s="7"/>
      <c r="F21" s="7"/>
      <c r="G21" s="7"/>
      <c r="H21" s="6"/>
    </row>
    <row r="22" spans="1:9">
      <c r="A22" t="s">
        <v>32</v>
      </c>
      <c r="C22" t="s">
        <v>8</v>
      </c>
      <c r="D22" s="1">
        <f>D20</f>
        <v>1.061491935483871</v>
      </c>
      <c r="E22" s="1"/>
      <c r="F22" s="1"/>
      <c r="G22" s="1"/>
      <c r="H22" s="1"/>
    </row>
    <row r="23" spans="1:9">
      <c r="A23" t="s">
        <v>33</v>
      </c>
      <c r="C23" t="s">
        <v>8</v>
      </c>
      <c r="D23" s="1">
        <f>D16/2+D22</f>
        <v>7.3614919354838708</v>
      </c>
      <c r="E23" s="1"/>
      <c r="F23" s="1"/>
      <c r="G23" s="1"/>
      <c r="H23" s="1"/>
    </row>
    <row r="24" spans="1:9">
      <c r="A24" t="s">
        <v>34</v>
      </c>
      <c r="C24" t="s">
        <v>8</v>
      </c>
      <c r="D24" s="1">
        <f>D16+D22</f>
        <v>13.66149193548387</v>
      </c>
      <c r="E24" s="1"/>
      <c r="F24" s="1"/>
      <c r="G24" s="1"/>
      <c r="H24" s="1"/>
    </row>
    <row r="25" spans="1:9" ht="13">
      <c r="A25" s="18" t="s">
        <v>360</v>
      </c>
      <c r="D25" s="17">
        <v>1</v>
      </c>
      <c r="E25" s="1"/>
      <c r="F25" s="1"/>
      <c r="G25" s="17"/>
      <c r="H25" s="17"/>
    </row>
    <row r="26" spans="1:9" ht="13">
      <c r="A26" s="15" t="s">
        <v>161</v>
      </c>
      <c r="B26" s="6"/>
      <c r="C26" s="6"/>
      <c r="D26" s="10"/>
      <c r="E26" s="6"/>
      <c r="F26" s="6"/>
      <c r="G26" s="10"/>
      <c r="H26" s="10"/>
      <c r="I26" s="10"/>
    </row>
    <row r="27" spans="1:9" ht="13">
      <c r="A27" t="s">
        <v>56</v>
      </c>
      <c r="B27" t="s">
        <v>162</v>
      </c>
      <c r="C27" t="s">
        <v>12</v>
      </c>
      <c r="D27" s="17">
        <v>2.08</v>
      </c>
      <c r="H27" s="17"/>
      <c r="I27" s="9"/>
    </row>
    <row r="28" spans="1:9" ht="13">
      <c r="A28" t="s">
        <v>163</v>
      </c>
      <c r="C28" s="18" t="s">
        <v>132</v>
      </c>
      <c r="D28" s="17">
        <v>0</v>
      </c>
      <c r="F28" s="65" t="s">
        <v>370</v>
      </c>
      <c r="G28" s="9"/>
      <c r="H28" s="17"/>
      <c r="I28" s="9"/>
    </row>
    <row r="29" spans="1:9" ht="13">
      <c r="A29" t="s">
        <v>164</v>
      </c>
      <c r="C29" t="s">
        <v>57</v>
      </c>
      <c r="D29" s="17">
        <v>1.5</v>
      </c>
      <c r="G29" s="9"/>
      <c r="H29" s="17"/>
      <c r="I29" s="9"/>
    </row>
    <row r="30" spans="1:9" ht="13">
      <c r="A30" t="s">
        <v>59</v>
      </c>
      <c r="C30" s="18" t="s">
        <v>107</v>
      </c>
      <c r="D30" s="21">
        <v>18</v>
      </c>
      <c r="G30" s="9"/>
      <c r="H30" s="21"/>
      <c r="I30" s="9"/>
    </row>
    <row r="31" spans="1:9" ht="13">
      <c r="A31" t="s">
        <v>165</v>
      </c>
      <c r="C31" t="s">
        <v>57</v>
      </c>
      <c r="D31" s="17">
        <v>1.35</v>
      </c>
      <c r="G31" s="9"/>
      <c r="H31" s="17"/>
      <c r="I31" s="9"/>
    </row>
    <row r="32" spans="1:9" ht="13">
      <c r="A32" t="s">
        <v>166</v>
      </c>
      <c r="C32" t="s">
        <v>57</v>
      </c>
      <c r="D32" s="17">
        <v>0.3</v>
      </c>
      <c r="G32" s="9"/>
      <c r="H32" s="17"/>
      <c r="I32" s="9"/>
    </row>
    <row r="33" spans="1:11">
      <c r="A33" t="s">
        <v>167</v>
      </c>
      <c r="C33" s="18" t="s">
        <v>132</v>
      </c>
      <c r="D33" s="5">
        <f>D28*D29*D32</f>
        <v>0</v>
      </c>
      <c r="G33" s="9"/>
      <c r="H33" s="5"/>
      <c r="I33" s="9"/>
    </row>
    <row r="34" spans="1:11">
      <c r="A34" t="s">
        <v>168</v>
      </c>
      <c r="C34" s="18" t="s">
        <v>132</v>
      </c>
      <c r="D34" s="5">
        <f>D27*D30*D31*D32</f>
        <v>15.163199999999998</v>
      </c>
      <c r="G34" s="9"/>
      <c r="H34" s="5"/>
      <c r="I34" s="9"/>
    </row>
    <row r="35" spans="1:11" ht="13">
      <c r="A35" t="s">
        <v>169</v>
      </c>
      <c r="C35" t="s">
        <v>57</v>
      </c>
      <c r="D35" s="17">
        <v>0.46</v>
      </c>
      <c r="G35" s="9"/>
      <c r="H35" s="17"/>
      <c r="I35" s="9"/>
    </row>
    <row r="36" spans="1:11">
      <c r="A36" t="s">
        <v>170</v>
      </c>
      <c r="C36" s="18" t="s">
        <v>132</v>
      </c>
      <c r="D36" s="5">
        <f>D28*D29*D35</f>
        <v>0</v>
      </c>
      <c r="G36" s="9"/>
      <c r="H36" s="5"/>
      <c r="I36" s="9"/>
    </row>
    <row r="37" spans="1:11">
      <c r="A37" t="s">
        <v>171</v>
      </c>
      <c r="C37" s="18" t="s">
        <v>132</v>
      </c>
      <c r="D37" s="5">
        <f>D27*D30*D31*D35</f>
        <v>23.250239999999998</v>
      </c>
      <c r="G37" s="9"/>
      <c r="H37" s="5"/>
      <c r="I37" s="9"/>
    </row>
    <row r="38" spans="1:11">
      <c r="A38" t="s">
        <v>172</v>
      </c>
      <c r="B38" t="s">
        <v>173</v>
      </c>
      <c r="C38" s="18" t="s">
        <v>132</v>
      </c>
      <c r="D38" s="5">
        <f>(D33+D36)/2</f>
        <v>0</v>
      </c>
      <c r="G38" s="9"/>
      <c r="H38" s="5"/>
      <c r="I38" s="9"/>
    </row>
    <row r="39" spans="1:11">
      <c r="A39" t="s">
        <v>174</v>
      </c>
      <c r="B39" t="s">
        <v>175</v>
      </c>
      <c r="C39" s="18" t="s">
        <v>132</v>
      </c>
      <c r="D39" s="5">
        <f>(D34+D37)/2</f>
        <v>19.206719999999997</v>
      </c>
      <c r="G39" s="9"/>
      <c r="H39" s="5"/>
      <c r="I39" s="9"/>
    </row>
    <row r="40" spans="1:11">
      <c r="D40" s="5"/>
      <c r="G40" s="9"/>
      <c r="H40" s="5"/>
      <c r="I40" s="9"/>
    </row>
    <row r="41" spans="1:11" s="6" customFormat="1" ht="13">
      <c r="A41" s="15" t="s">
        <v>363</v>
      </c>
      <c r="D41" s="69"/>
      <c r="G41" s="10"/>
      <c r="H41" s="69"/>
      <c r="I41" s="10"/>
    </row>
    <row r="42" spans="1:11" ht="13">
      <c r="A42" s="18" t="s">
        <v>361</v>
      </c>
      <c r="C42" s="13" t="s">
        <v>57</v>
      </c>
      <c r="D42" s="1">
        <f>D10/D11</f>
        <v>0.52923387096774199</v>
      </c>
      <c r="E42" s="1"/>
      <c r="F42" s="99" t="s">
        <v>362</v>
      </c>
      <c r="G42" s="17"/>
      <c r="H42" s="17"/>
    </row>
    <row r="43" spans="1:11" ht="13">
      <c r="A43" s="18"/>
      <c r="D43" s="21"/>
      <c r="E43" s="1"/>
      <c r="F43" s="5"/>
      <c r="G43" s="17"/>
      <c r="H43" s="17"/>
    </row>
    <row r="44" spans="1:11" ht="13">
      <c r="A44" s="15" t="s">
        <v>357</v>
      </c>
      <c r="B44" s="6"/>
      <c r="C44" s="6"/>
      <c r="D44" s="6"/>
      <c r="E44" s="6"/>
      <c r="F44" s="6"/>
      <c r="G44" s="10"/>
      <c r="H44" s="69"/>
      <c r="I44" s="10"/>
      <c r="J44" s="6"/>
      <c r="K44" s="6"/>
    </row>
    <row r="45" spans="1:11">
      <c r="A45" s="18" t="s">
        <v>89</v>
      </c>
      <c r="B45" s="18" t="s">
        <v>63</v>
      </c>
      <c r="C45" s="18" t="s">
        <v>132</v>
      </c>
      <c r="D45" s="5">
        <f>'Schnittkräfte S1'!G42</f>
        <v>4.08</v>
      </c>
      <c r="E45" s="9"/>
      <c r="F45" t="s">
        <v>91</v>
      </c>
    </row>
    <row r="46" spans="1:11" ht="15.5">
      <c r="A46" s="18" t="s">
        <v>176</v>
      </c>
      <c r="B46" s="18" t="s">
        <v>177</v>
      </c>
      <c r="C46" s="27" t="s">
        <v>8</v>
      </c>
      <c r="D46" s="23">
        <f>D23</f>
        <v>7.3614919354838708</v>
      </c>
      <c r="E46" s="9"/>
      <c r="G46" s="18" t="s">
        <v>355</v>
      </c>
    </row>
    <row r="47" spans="1:11">
      <c r="A47" s="18" t="s">
        <v>178</v>
      </c>
      <c r="B47" s="18" t="s">
        <v>179</v>
      </c>
      <c r="C47" t="s">
        <v>8</v>
      </c>
      <c r="D47" s="22">
        <f>0.5*(D32+D35)*D30*D10*D27^2/(7.8*D9)</f>
        <v>41.496000000000009</v>
      </c>
      <c r="E47" s="9"/>
      <c r="F47" t="s">
        <v>180</v>
      </c>
    </row>
    <row r="48" spans="1:11">
      <c r="A48" t="s">
        <v>181</v>
      </c>
      <c r="B48" t="s">
        <v>182</v>
      </c>
      <c r="C48" t="s">
        <v>8</v>
      </c>
      <c r="D48" s="70">
        <f>D9*D45*0.33*1000</f>
        <v>323.13599999999997</v>
      </c>
      <c r="E48" s="9"/>
      <c r="F48" t="s">
        <v>183</v>
      </c>
    </row>
    <row r="49" spans="1:8" ht="15.5">
      <c r="A49" s="18" t="s">
        <v>133</v>
      </c>
      <c r="B49" s="44" t="s">
        <v>157</v>
      </c>
      <c r="D49" s="65">
        <f>D47/D46</f>
        <v>5.6369008298414274</v>
      </c>
      <c r="E49" s="9"/>
      <c r="F49" s="18" t="s">
        <v>364</v>
      </c>
      <c r="G49" s="18" t="s">
        <v>365</v>
      </c>
    </row>
    <row r="50" spans="1:8" s="35" customFormat="1" ht="15.5">
      <c r="B50" s="100" t="s">
        <v>158</v>
      </c>
      <c r="D50" s="35">
        <f>D46/D48</f>
        <v>2.2781404533954348E-2</v>
      </c>
      <c r="E50" s="68"/>
    </row>
    <row r="51" spans="1:8" ht="13">
      <c r="A51" s="11" t="s">
        <v>369</v>
      </c>
      <c r="B51" s="44"/>
      <c r="E51" s="9"/>
    </row>
    <row r="52" spans="1:8" s="35" customFormat="1">
      <c r="B52" s="45" t="s">
        <v>371</v>
      </c>
      <c r="C52" s="45" t="s">
        <v>315</v>
      </c>
      <c r="D52" s="97">
        <f>0.5*(D38+D39)*D11/8</f>
        <v>5.9540831999999995</v>
      </c>
      <c r="E52" s="68"/>
      <c r="G52" s="45" t="s">
        <v>372</v>
      </c>
    </row>
    <row r="53" spans="1:8" ht="13">
      <c r="A53" s="11" t="s">
        <v>366</v>
      </c>
      <c r="D53" s="9"/>
      <c r="E53" s="1"/>
      <c r="F53" s="1"/>
      <c r="G53" s="17"/>
      <c r="H53" s="17"/>
    </row>
    <row r="54" spans="1:8" ht="13">
      <c r="A54" t="s">
        <v>200</v>
      </c>
      <c r="B54" t="s">
        <v>201</v>
      </c>
      <c r="C54" s="18" t="s">
        <v>150</v>
      </c>
      <c r="D54" s="16">
        <v>0.08</v>
      </c>
      <c r="F54" s="5" t="s">
        <v>202</v>
      </c>
    </row>
    <row r="55" spans="1:8">
      <c r="A55" t="s">
        <v>222</v>
      </c>
      <c r="B55" s="18" t="s">
        <v>213</v>
      </c>
      <c r="C55" s="18" t="s">
        <v>150</v>
      </c>
      <c r="D55" s="74">
        <f>D23/D9/1000</f>
        <v>3.0672883064516127E-2</v>
      </c>
    </row>
    <row r="56" spans="1:8" ht="13">
      <c r="A56" t="s">
        <v>227</v>
      </c>
      <c r="B56" s="18" t="s">
        <v>368</v>
      </c>
      <c r="D56" s="16">
        <v>0.4</v>
      </c>
      <c r="F56" t="s">
        <v>228</v>
      </c>
    </row>
    <row r="57" spans="1:8">
      <c r="A57" s="18" t="s">
        <v>229</v>
      </c>
      <c r="B57" s="18" t="s">
        <v>230</v>
      </c>
      <c r="C57" s="18" t="s">
        <v>106</v>
      </c>
      <c r="D57">
        <f>(D54+0.6*D55)*D56</f>
        <v>3.9361491935483876E-2</v>
      </c>
      <c r="F57" s="18" t="s">
        <v>231</v>
      </c>
      <c r="G57" s="18" t="s">
        <v>358</v>
      </c>
    </row>
    <row r="58" spans="1:8">
      <c r="A58" t="s">
        <v>232</v>
      </c>
      <c r="B58" t="s">
        <v>233</v>
      </c>
      <c r="C58" s="18" t="s">
        <v>106</v>
      </c>
      <c r="D58" s="19">
        <v>25</v>
      </c>
      <c r="E58" s="1"/>
      <c r="F58" s="5" t="s">
        <v>234</v>
      </c>
    </row>
    <row r="59" spans="1:8" ht="13">
      <c r="A59" t="s">
        <v>235</v>
      </c>
      <c r="B59" t="s">
        <v>236</v>
      </c>
      <c r="C59" s="18" t="s">
        <v>106</v>
      </c>
      <c r="D59" s="1">
        <f>D58*0.032</f>
        <v>0.8</v>
      </c>
      <c r="E59" s="1"/>
      <c r="F59" s="5" t="s">
        <v>237</v>
      </c>
    </row>
    <row r="60" spans="1:8">
      <c r="A60" s="18" t="s">
        <v>238</v>
      </c>
      <c r="B60" s="18" t="s">
        <v>230</v>
      </c>
      <c r="C60" s="18" t="s">
        <v>106</v>
      </c>
      <c r="D60">
        <f>MIN(0.7,D59/2)</f>
        <v>0.4</v>
      </c>
      <c r="F60" s="18" t="s">
        <v>239</v>
      </c>
    </row>
    <row r="61" spans="1:8">
      <c r="A61" s="18" t="s">
        <v>240</v>
      </c>
      <c r="B61" s="18" t="s">
        <v>241</v>
      </c>
      <c r="C61" s="18" t="s">
        <v>106</v>
      </c>
      <c r="D61">
        <f>MIN(D57,D60)/1.5*0.85</f>
        <v>2.230484543010753E-2</v>
      </c>
      <c r="F61" s="18" t="s">
        <v>242</v>
      </c>
    </row>
    <row r="62" spans="1:8">
      <c r="A62" s="18" t="s">
        <v>243</v>
      </c>
      <c r="B62" s="18" t="s">
        <v>244</v>
      </c>
      <c r="C62" s="18" t="s">
        <v>359</v>
      </c>
      <c r="D62" s="74">
        <f>D9^2/6</f>
        <v>9.5999999999999992E-3</v>
      </c>
    </row>
    <row r="63" spans="1:8">
      <c r="A63" s="18" t="s">
        <v>245</v>
      </c>
      <c r="B63" s="18" t="s">
        <v>246</v>
      </c>
      <c r="C63" s="18" t="s">
        <v>315</v>
      </c>
      <c r="D63" s="18">
        <f>D61*D62*1000*D27</f>
        <v>0.44538315354838709</v>
      </c>
      <c r="F63" t="s">
        <v>247</v>
      </c>
    </row>
    <row r="64" spans="1:8" ht="13">
      <c r="A64" s="18" t="s">
        <v>133</v>
      </c>
      <c r="B64" s="44" t="s">
        <v>51</v>
      </c>
      <c r="D64" s="65">
        <f>D52/D63</f>
        <v>13.368451753425243</v>
      </c>
      <c r="E64" s="9"/>
      <c r="F64" s="18" t="s">
        <v>364</v>
      </c>
    </row>
    <row r="65" spans="1:1" ht="13">
      <c r="A65" s="65" t="s">
        <v>367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&amp;CMW 16.01.2015: Beispiel Kellerwand mit Versuch Biegung um Stoßfugenachse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F71"/>
  <sheetViews>
    <sheetView topLeftCell="A29" workbookViewId="0">
      <selection activeCell="W55" sqref="W55"/>
    </sheetView>
  </sheetViews>
  <sheetFormatPr baseColWidth="10" defaultRowHeight="12.5"/>
  <sheetData>
    <row r="1" spans="1:6">
      <c r="A1" s="18" t="s">
        <v>318</v>
      </c>
    </row>
    <row r="2" spans="1:6">
      <c r="A2" s="18" t="s">
        <v>319</v>
      </c>
    </row>
    <row r="3" spans="1:6" ht="13">
      <c r="A3" s="65" t="s">
        <v>338</v>
      </c>
    </row>
    <row r="5" spans="1:6">
      <c r="A5" s="18" t="s">
        <v>324</v>
      </c>
    </row>
    <row r="6" spans="1:6" ht="15.5">
      <c r="A6" s="18" t="s">
        <v>323</v>
      </c>
      <c r="B6" s="18" t="s">
        <v>320</v>
      </c>
      <c r="C6" t="s">
        <v>312</v>
      </c>
      <c r="D6" s="21">
        <v>43.5</v>
      </c>
    </row>
    <row r="7" spans="1:6" ht="15.5">
      <c r="A7" s="18" t="s">
        <v>14</v>
      </c>
      <c r="B7" s="18" t="s">
        <v>127</v>
      </c>
      <c r="C7" t="s">
        <v>106</v>
      </c>
      <c r="D7" s="5">
        <f>C53/1.5*0.85</f>
        <v>1.02</v>
      </c>
      <c r="E7" s="18" t="s">
        <v>330</v>
      </c>
    </row>
    <row r="8" spans="1:6" ht="15.5">
      <c r="B8" s="18" t="s">
        <v>127</v>
      </c>
      <c r="C8" t="s">
        <v>312</v>
      </c>
      <c r="D8">
        <f>D7/10</f>
        <v>0.10200000000000001</v>
      </c>
    </row>
    <row r="9" spans="1:6" ht="13">
      <c r="A9" s="18" t="s">
        <v>321</v>
      </c>
      <c r="B9" t="s">
        <v>49</v>
      </c>
      <c r="C9" t="s">
        <v>313</v>
      </c>
      <c r="D9" s="21">
        <v>25</v>
      </c>
    </row>
    <row r="10" spans="1:6" ht="13">
      <c r="A10" s="18" t="s">
        <v>322</v>
      </c>
      <c r="B10" t="s">
        <v>48</v>
      </c>
      <c r="C10" t="s">
        <v>313</v>
      </c>
      <c r="D10" s="21">
        <v>11.6</v>
      </c>
    </row>
    <row r="14" spans="1:6" ht="13">
      <c r="A14" s="78"/>
      <c r="B14" s="145" t="s">
        <v>325</v>
      </c>
      <c r="C14" s="147"/>
      <c r="D14" s="145" t="s">
        <v>326</v>
      </c>
      <c r="E14" s="146"/>
      <c r="F14" s="147"/>
    </row>
    <row r="15" spans="1:6" ht="15.5">
      <c r="A15" s="79" t="s">
        <v>310</v>
      </c>
      <c r="B15" s="41" t="s">
        <v>314</v>
      </c>
      <c r="C15" s="91" t="s">
        <v>331</v>
      </c>
      <c r="D15" s="80" t="s">
        <v>316</v>
      </c>
      <c r="E15" s="81" t="s">
        <v>317</v>
      </c>
      <c r="F15" s="92" t="s">
        <v>331</v>
      </c>
    </row>
    <row r="16" spans="1:6">
      <c r="A16" s="79" t="s">
        <v>311</v>
      </c>
      <c r="B16" s="79"/>
      <c r="C16" s="79" t="s">
        <v>315</v>
      </c>
      <c r="D16" s="79"/>
      <c r="E16" s="79"/>
      <c r="F16" s="79" t="s">
        <v>315</v>
      </c>
    </row>
    <row r="17" spans="1:6">
      <c r="A17" s="82">
        <v>0</v>
      </c>
      <c r="B17" s="84">
        <f t="shared" ref="B17:B42" si="0">MIN(1-0.5*A17*$D$6/$D$9/$D$10/$D$8,0.95)</f>
        <v>0.95</v>
      </c>
      <c r="C17" s="84">
        <f t="shared" ref="C17:C42" si="1">A17*$D$6*B17*$D$10/100</f>
        <v>0</v>
      </c>
      <c r="D17" s="84">
        <f t="shared" ref="D17:D42" si="2">A17*$D$6/$D$8/$D$9/$D$10</f>
        <v>0</v>
      </c>
      <c r="E17" s="84">
        <v>0</v>
      </c>
      <c r="F17" s="85">
        <f t="shared" ref="F17:F42" si="3">$D$9*$D$10^2*$D$8*E17/100</f>
        <v>0</v>
      </c>
    </row>
    <row r="18" spans="1:6">
      <c r="A18" s="79">
        <v>0.1</v>
      </c>
      <c r="B18" s="86">
        <f t="shared" si="0"/>
        <v>0.92647058823529416</v>
      </c>
      <c r="C18" s="86">
        <f t="shared" si="1"/>
        <v>0.46749705882352949</v>
      </c>
      <c r="D18" s="86">
        <f t="shared" si="2"/>
        <v>0.14705882352941177</v>
      </c>
      <c r="E18" s="86">
        <v>0.13507900380407528</v>
      </c>
      <c r="F18" s="87">
        <f t="shared" si="3"/>
        <v>0.46349388417284748</v>
      </c>
    </row>
    <row r="19" spans="1:6">
      <c r="A19" s="79">
        <v>0.2</v>
      </c>
      <c r="B19" s="86">
        <f t="shared" si="0"/>
        <v>0.8529411764705882</v>
      </c>
      <c r="C19" s="86">
        <f t="shared" si="1"/>
        <v>0.86078823529411763</v>
      </c>
      <c r="D19" s="86">
        <f t="shared" si="2"/>
        <v>0.29411764705882354</v>
      </c>
      <c r="E19" s="86">
        <v>0.24542666068525232</v>
      </c>
      <c r="F19" s="87">
        <f t="shared" si="3"/>
        <v>0.84212759227609268</v>
      </c>
    </row>
    <row r="20" spans="1:6">
      <c r="A20" s="79">
        <v>0.3</v>
      </c>
      <c r="B20" s="86">
        <f t="shared" si="0"/>
        <v>0.77941176470588247</v>
      </c>
      <c r="C20" s="86">
        <f t="shared" si="1"/>
        <v>1.1798735294117646</v>
      </c>
      <c r="D20" s="86">
        <f t="shared" si="2"/>
        <v>0.44117647058823528</v>
      </c>
      <c r="E20" s="86">
        <v>0.28429218191150291</v>
      </c>
      <c r="F20" s="87">
        <f t="shared" si="3"/>
        <v>0.97548607794930176</v>
      </c>
    </row>
    <row r="21" spans="1:6">
      <c r="A21" s="79">
        <v>0.4</v>
      </c>
      <c r="B21" s="86">
        <f t="shared" si="0"/>
        <v>0.70588235294117641</v>
      </c>
      <c r="C21" s="86">
        <f t="shared" si="1"/>
        <v>1.4247529411764706</v>
      </c>
      <c r="D21" s="86">
        <f t="shared" si="2"/>
        <v>0.58823529411764708</v>
      </c>
      <c r="E21" s="86">
        <v>0.30342738354764132</v>
      </c>
      <c r="F21" s="87">
        <f t="shared" si="3"/>
        <v>1.0411443126193509</v>
      </c>
    </row>
    <row r="22" spans="1:6">
      <c r="A22" s="79">
        <v>0.5</v>
      </c>
      <c r="B22" s="86">
        <f t="shared" si="0"/>
        <v>0.63235294117647056</v>
      </c>
      <c r="C22" s="86">
        <f t="shared" si="1"/>
        <v>1.5954264705882353</v>
      </c>
      <c r="D22" s="86">
        <f>A22*$D$6/$D$8/$D$9/$D$10</f>
        <v>0.73529411764705888</v>
      </c>
      <c r="E22" s="86">
        <v>0.31738866821145062</v>
      </c>
      <c r="F22" s="87">
        <f t="shared" si="3"/>
        <v>1.0890493894605864</v>
      </c>
    </row>
    <row r="23" spans="1:6">
      <c r="A23" s="79">
        <v>0.6</v>
      </c>
      <c r="B23" s="86">
        <f t="shared" si="0"/>
        <v>0.55882352941176483</v>
      </c>
      <c r="C23" s="86">
        <f t="shared" si="1"/>
        <v>1.691894117647059</v>
      </c>
      <c r="D23" s="86">
        <f t="shared" si="2"/>
        <v>0.88235294117647056</v>
      </c>
      <c r="E23" s="86">
        <v>0.32820260530252954</v>
      </c>
      <c r="F23" s="87">
        <f t="shared" si="3"/>
        <v>1.1261550355224637</v>
      </c>
    </row>
    <row r="24" spans="1:6">
      <c r="A24" s="79">
        <v>0.7</v>
      </c>
      <c r="B24" s="86">
        <f t="shared" si="0"/>
        <v>0.48529411764705888</v>
      </c>
      <c r="C24" s="86">
        <f t="shared" si="1"/>
        <v>1.7141558823529415</v>
      </c>
      <c r="D24" s="86">
        <f t="shared" si="2"/>
        <v>1.0294117647058822</v>
      </c>
      <c r="E24" s="86">
        <v>0.33680346502946101</v>
      </c>
      <c r="F24" s="87">
        <f t="shared" si="3"/>
        <v>1.1556669934862891</v>
      </c>
    </row>
    <row r="25" spans="1:6">
      <c r="A25" s="79">
        <v>0.8</v>
      </c>
      <c r="B25" s="86">
        <f t="shared" si="0"/>
        <v>0.41176470588235292</v>
      </c>
      <c r="C25" s="86">
        <f t="shared" si="1"/>
        <v>1.6622117647058823</v>
      </c>
      <c r="D25" s="86">
        <f t="shared" si="2"/>
        <v>1.1764705882352942</v>
      </c>
      <c r="E25" s="86">
        <v>0.34385737156088775</v>
      </c>
      <c r="F25" s="87">
        <f t="shared" si="3"/>
        <v>1.179870921889443</v>
      </c>
    </row>
    <row r="26" spans="1:6">
      <c r="A26" s="79">
        <v>0.9</v>
      </c>
      <c r="B26" s="86">
        <f t="shared" si="0"/>
        <v>0.33823529411764719</v>
      </c>
      <c r="C26" s="86">
        <f t="shared" si="1"/>
        <v>1.5360617647058827</v>
      </c>
      <c r="D26" s="86">
        <f t="shared" si="2"/>
        <v>1.3235294117647056</v>
      </c>
      <c r="E26" s="86">
        <v>0.34974190037369352</v>
      </c>
      <c r="F26" s="87">
        <f t="shared" si="3"/>
        <v>1.2000623879142471</v>
      </c>
    </row>
    <row r="27" spans="1:6">
      <c r="A27" s="79">
        <v>1</v>
      </c>
      <c r="B27" s="86">
        <f t="shared" si="0"/>
        <v>0.26470588235294124</v>
      </c>
      <c r="C27" s="86">
        <f t="shared" si="1"/>
        <v>1.3357058823529413</v>
      </c>
      <c r="D27" s="86">
        <f t="shared" si="2"/>
        <v>1.4705882352941178</v>
      </c>
      <c r="E27" s="86">
        <v>0.35473553561250959</v>
      </c>
      <c r="F27" s="87">
        <f t="shared" si="3"/>
        <v>1.2171969486364922</v>
      </c>
    </row>
    <row r="28" spans="1:6">
      <c r="A28" s="79">
        <v>1.1000000000000001</v>
      </c>
      <c r="B28" s="86">
        <f t="shared" si="0"/>
        <v>0.19117647058823528</v>
      </c>
      <c r="C28" s="86">
        <f t="shared" si="1"/>
        <v>1.0611441176470586</v>
      </c>
      <c r="D28" s="86">
        <f t="shared" si="2"/>
        <v>1.6176470588235294</v>
      </c>
      <c r="E28" s="86">
        <v>0.35900760162991624</v>
      </c>
      <c r="F28" s="87">
        <f t="shared" si="3"/>
        <v>1.2318556033206991</v>
      </c>
    </row>
    <row r="29" spans="1:6">
      <c r="A29" s="79">
        <v>1.2</v>
      </c>
      <c r="B29" s="86">
        <f t="shared" si="0"/>
        <v>0.11764705882352966</v>
      </c>
      <c r="C29" s="86">
        <f t="shared" si="1"/>
        <v>0.71237647058823683</v>
      </c>
      <c r="D29" s="86">
        <f t="shared" si="2"/>
        <v>1.7647058823529411</v>
      </c>
      <c r="E29" s="86">
        <v>0.36274759967661063</v>
      </c>
      <c r="F29" s="87">
        <f t="shared" si="3"/>
        <v>1.2446885838183608</v>
      </c>
    </row>
    <row r="30" spans="1:6">
      <c r="A30" s="79">
        <v>1.3</v>
      </c>
      <c r="B30" s="86">
        <f t="shared" si="0"/>
        <v>4.4117647058823595E-2</v>
      </c>
      <c r="C30" s="86">
        <f t="shared" si="1"/>
        <v>0.28940294117647103</v>
      </c>
      <c r="D30" s="86">
        <f t="shared" si="2"/>
        <v>1.911764705882353</v>
      </c>
      <c r="E30" s="86">
        <v>0.36602982890758728</v>
      </c>
      <c r="F30" s="87">
        <f t="shared" si="3"/>
        <v>1.2559508313340262</v>
      </c>
    </row>
    <row r="31" spans="1:6">
      <c r="A31" s="79">
        <v>1.4</v>
      </c>
      <c r="B31" s="86">
        <f t="shared" si="0"/>
        <v>-2.9411764705882248E-2</v>
      </c>
      <c r="C31" s="86">
        <f t="shared" si="1"/>
        <v>-0.20777647058823454</v>
      </c>
      <c r="D31" s="86">
        <f t="shared" si="2"/>
        <v>2.0588235294117645</v>
      </c>
      <c r="E31" s="86">
        <v>0.36893410361455642</v>
      </c>
      <c r="F31" s="87">
        <f t="shared" si="3"/>
        <v>1.2659162110505553</v>
      </c>
    </row>
    <row r="32" spans="1:6">
      <c r="A32" s="79">
        <v>1.5</v>
      </c>
      <c r="B32" s="86">
        <f t="shared" si="0"/>
        <v>-0.10294117647058809</v>
      </c>
      <c r="C32" s="86">
        <f t="shared" si="1"/>
        <v>-0.77916176470588128</v>
      </c>
      <c r="D32" s="86">
        <f t="shared" si="2"/>
        <v>2.2058823529411762</v>
      </c>
      <c r="E32" s="86">
        <v>0.37152275988383199</v>
      </c>
      <c r="F32" s="87">
        <f t="shared" si="3"/>
        <v>1.2747986155341953</v>
      </c>
    </row>
    <row r="33" spans="1:6">
      <c r="A33" s="79">
        <v>1.6</v>
      </c>
      <c r="B33" s="86">
        <f t="shared" si="0"/>
        <v>-0.17647058823529416</v>
      </c>
      <c r="C33" s="86">
        <f t="shared" si="1"/>
        <v>-1.424752941176471</v>
      </c>
      <c r="D33" s="86">
        <f t="shared" si="2"/>
        <v>2.3529411764705883</v>
      </c>
      <c r="E33" s="86">
        <v>0.37384498151080231</v>
      </c>
      <c r="F33" s="87">
        <f t="shared" si="3"/>
        <v>1.2827668081583861</v>
      </c>
    </row>
    <row r="34" spans="1:6">
      <c r="A34" s="79">
        <v>1.7</v>
      </c>
      <c r="B34" s="86">
        <f t="shared" si="0"/>
        <v>-0.25</v>
      </c>
      <c r="C34" s="86">
        <f t="shared" si="1"/>
        <v>-2.1445500000000002</v>
      </c>
      <c r="D34" s="86">
        <f t="shared" si="2"/>
        <v>2.5</v>
      </c>
      <c r="E34" s="86">
        <v>0.37594013517561997</v>
      </c>
      <c r="F34" s="87">
        <f t="shared" si="3"/>
        <v>1.2899558670254014</v>
      </c>
    </row>
    <row r="35" spans="1:6">
      <c r="A35" s="79">
        <v>1.8</v>
      </c>
      <c r="B35" s="86">
        <f t="shared" si="0"/>
        <v>-0.32352941176470562</v>
      </c>
      <c r="C35" s="86">
        <f t="shared" si="1"/>
        <v>-2.9385529411764679</v>
      </c>
      <c r="D35" s="86">
        <f t="shared" si="2"/>
        <v>2.6470588235294112</v>
      </c>
      <c r="E35" s="86">
        <v>0.37784013025600449</v>
      </c>
      <c r="F35" s="87">
        <f t="shared" si="3"/>
        <v>1.2964752821448231</v>
      </c>
    </row>
    <row r="36" spans="1:6">
      <c r="A36" s="79">
        <v>1.9</v>
      </c>
      <c r="B36" s="86">
        <f t="shared" si="0"/>
        <v>-0.39705882352941146</v>
      </c>
      <c r="C36" s="86">
        <f t="shared" si="1"/>
        <v>-3.8067617647058789</v>
      </c>
      <c r="D36" s="86">
        <f t="shared" si="2"/>
        <v>2.7941176470588234</v>
      </c>
      <c r="E36" s="86">
        <v>0.3795711215812585</v>
      </c>
      <c r="F36" s="87">
        <f t="shared" si="3"/>
        <v>1.302414798059341</v>
      </c>
    </row>
    <row r="37" spans="1:6">
      <c r="A37" s="79">
        <v>2</v>
      </c>
      <c r="B37" s="86">
        <f t="shared" si="0"/>
        <v>-0.47058823529411753</v>
      </c>
      <c r="C37" s="86">
        <f t="shared" si="1"/>
        <v>-4.7491764705882336</v>
      </c>
      <c r="D37" s="86">
        <f t="shared" si="2"/>
        <v>2.9411764705882355</v>
      </c>
      <c r="E37" s="86">
        <v>0.38115476143959703</v>
      </c>
      <c r="F37" s="87">
        <f t="shared" si="3"/>
        <v>1.3078487098324607</v>
      </c>
    </row>
    <row r="38" spans="1:6">
      <c r="A38" s="79">
        <v>2.1</v>
      </c>
      <c r="B38" s="86">
        <f t="shared" si="0"/>
        <v>-0.54411764705882359</v>
      </c>
      <c r="C38" s="86">
        <f t="shared" si="1"/>
        <v>-5.765797058823531</v>
      </c>
      <c r="D38" s="86">
        <f t="shared" si="2"/>
        <v>3.0882352941176476</v>
      </c>
      <c r="E38" s="86">
        <v>0.38260913551961445</v>
      </c>
      <c r="F38" s="87">
        <f t="shared" si="3"/>
        <v>1.3128390745257428</v>
      </c>
    </row>
    <row r="39" spans="1:6">
      <c r="A39" s="79">
        <v>2.2000000000000002</v>
      </c>
      <c r="B39" s="86">
        <f t="shared" si="0"/>
        <v>-0.61764705882352944</v>
      </c>
      <c r="C39" s="86">
        <f t="shared" si="1"/>
        <v>-6.8566235294117659</v>
      </c>
      <c r="D39" s="86">
        <f t="shared" si="2"/>
        <v>3.2352941176470589</v>
      </c>
      <c r="E39" s="86">
        <v>0.38394947291856535</v>
      </c>
      <c r="F39" s="87">
        <f t="shared" si="3"/>
        <v>1.3174381474360153</v>
      </c>
    </row>
    <row r="40" spans="1:6">
      <c r="A40" s="79">
        <v>2.2999999999999998</v>
      </c>
      <c r="B40" s="86">
        <f t="shared" si="0"/>
        <v>-0.69117647058823506</v>
      </c>
      <c r="C40" s="86">
        <f t="shared" si="1"/>
        <v>-8.0216558823529382</v>
      </c>
      <c r="D40" s="86">
        <f t="shared" si="2"/>
        <v>3.3823529411764701</v>
      </c>
      <c r="E40" s="86">
        <v>0.38518869187591398</v>
      </c>
      <c r="F40" s="87">
        <f t="shared" si="3"/>
        <v>1.3216902546599862</v>
      </c>
    </row>
    <row r="41" spans="1:6">
      <c r="A41" s="79">
        <v>2.4</v>
      </c>
      <c r="B41" s="86">
        <f t="shared" si="0"/>
        <v>-0.76470588235294068</v>
      </c>
      <c r="C41" s="86">
        <f t="shared" si="1"/>
        <v>-9.2608941176470516</v>
      </c>
      <c r="D41" s="86">
        <f t="shared" si="2"/>
        <v>3.5294117647058822</v>
      </c>
      <c r="E41" s="86">
        <v>0.38633782423559249</v>
      </c>
      <c r="F41" s="87">
        <f t="shared" si="3"/>
        <v>1.3256332495431038</v>
      </c>
    </row>
    <row r="42" spans="1:6">
      <c r="A42" s="83">
        <v>2.5</v>
      </c>
      <c r="B42" s="88">
        <f t="shared" si="0"/>
        <v>-0.83823529411764697</v>
      </c>
      <c r="C42" s="88">
        <f t="shared" si="1"/>
        <v>-10.574338235294114</v>
      </c>
      <c r="D42" s="88">
        <f t="shared" si="2"/>
        <v>3.6764705882352939</v>
      </c>
      <c r="E42" s="88">
        <v>0.38740634915068994</v>
      </c>
      <c r="F42" s="89">
        <f t="shared" si="3"/>
        <v>1.3292996577137797</v>
      </c>
    </row>
    <row r="45" spans="1:6" ht="14">
      <c r="A45" s="90" t="s">
        <v>327</v>
      </c>
    </row>
    <row r="47" spans="1:6" ht="15.5">
      <c r="A47" s="18" t="s">
        <v>339</v>
      </c>
      <c r="B47" t="s">
        <v>315</v>
      </c>
      <c r="C47" s="17">
        <v>0.25</v>
      </c>
    </row>
    <row r="48" spans="1:6" ht="15.5">
      <c r="A48" s="18" t="s">
        <v>335</v>
      </c>
      <c r="B48" t="s">
        <v>315</v>
      </c>
      <c r="C48">
        <f>C47+C49*(C51-C50/2)/100</f>
        <v>0.25</v>
      </c>
    </row>
    <row r="49" spans="1:3" ht="13">
      <c r="A49" t="s">
        <v>328</v>
      </c>
      <c r="B49" t="s">
        <v>7</v>
      </c>
      <c r="C49" s="21">
        <v>0</v>
      </c>
    </row>
    <row r="50" spans="1:3" ht="13">
      <c r="A50" t="s">
        <v>51</v>
      </c>
      <c r="B50" t="s">
        <v>313</v>
      </c>
      <c r="C50" s="21">
        <v>15</v>
      </c>
    </row>
    <row r="51" spans="1:3" ht="13">
      <c r="A51" t="s">
        <v>48</v>
      </c>
      <c r="B51" t="s">
        <v>313</v>
      </c>
      <c r="C51" s="21">
        <f>D10</f>
        <v>11.6</v>
      </c>
    </row>
    <row r="52" spans="1:3" ht="13">
      <c r="A52" t="s">
        <v>49</v>
      </c>
      <c r="B52" t="s">
        <v>313</v>
      </c>
      <c r="C52" s="21">
        <v>25</v>
      </c>
    </row>
    <row r="53" spans="1:3" ht="15.5">
      <c r="A53" s="18" t="s">
        <v>121</v>
      </c>
      <c r="B53" t="s">
        <v>106</v>
      </c>
      <c r="C53" s="21">
        <v>1.8</v>
      </c>
    </row>
    <row r="56" spans="1:3">
      <c r="A56" s="18" t="s">
        <v>336</v>
      </c>
    </row>
    <row r="57" spans="1:3" ht="13">
      <c r="A57" s="18" t="s">
        <v>334</v>
      </c>
      <c r="B57" t="s">
        <v>311</v>
      </c>
      <c r="C57" s="93">
        <f>0.8*0.15</f>
        <v>0.12</v>
      </c>
    </row>
    <row r="58" spans="1:3">
      <c r="A58" s="18" t="s">
        <v>314</v>
      </c>
      <c r="B58" s="18"/>
      <c r="C58" s="73">
        <f>MIN(1-0.5*C57*$D$6/$D$9/$D$10/$D$8,0.95)</f>
        <v>0.91176470588235292</v>
      </c>
    </row>
    <row r="59" spans="1:3" ht="15.5">
      <c r="A59" s="18" t="s">
        <v>331</v>
      </c>
      <c r="B59" s="18" t="s">
        <v>315</v>
      </c>
      <c r="C59" s="73">
        <f>C57*$D$6*C58*$D$10/100</f>
        <v>0.55209176470588228</v>
      </c>
    </row>
    <row r="60" spans="1:3" ht="15.5">
      <c r="A60" s="18" t="s">
        <v>340</v>
      </c>
      <c r="B60" s="18" t="s">
        <v>315</v>
      </c>
      <c r="C60" s="73">
        <f>0.4*D8*C52*C51^2/100</f>
        <v>1.3725120000000002</v>
      </c>
    </row>
    <row r="61" spans="1:3">
      <c r="A61" s="44" t="s">
        <v>51</v>
      </c>
      <c r="C61" s="64">
        <f>C47/C59</f>
        <v>0.45282327319840271</v>
      </c>
    </row>
    <row r="63" spans="1:3" ht="13">
      <c r="A63" s="94" t="s">
        <v>326</v>
      </c>
      <c r="B63" s="94"/>
      <c r="C63" s="94"/>
    </row>
    <row r="64" spans="1:3">
      <c r="A64" s="44" t="s">
        <v>12</v>
      </c>
      <c r="B64" s="74"/>
      <c r="C64" s="74">
        <f>C48/C52/C51^2/D8*100</f>
        <v>7.2859107971369297E-2</v>
      </c>
    </row>
    <row r="65" spans="1:3">
      <c r="A65" s="66" t="s">
        <v>329</v>
      </c>
      <c r="C65" s="74">
        <v>7.6999999999999999E-2</v>
      </c>
    </row>
    <row r="66" spans="1:3" ht="15.5">
      <c r="A66" s="66" t="s">
        <v>332</v>
      </c>
      <c r="B66" t="s">
        <v>106</v>
      </c>
      <c r="C66">
        <v>43.5</v>
      </c>
    </row>
    <row r="67" spans="1:3">
      <c r="A67" s="18" t="s">
        <v>333</v>
      </c>
      <c r="B67" t="s">
        <v>311</v>
      </c>
      <c r="C67" s="73">
        <f>(C65*D8*C52*C51-C49)/C66</f>
        <v>5.2360000000000004E-2</v>
      </c>
    </row>
    <row r="69" spans="1:3" ht="13">
      <c r="A69" s="18" t="s">
        <v>334</v>
      </c>
      <c r="B69" t="s">
        <v>311</v>
      </c>
      <c r="C69" s="93">
        <f>0.8*0.15</f>
        <v>0.12</v>
      </c>
    </row>
    <row r="71" spans="1:3">
      <c r="A71" s="44" t="s">
        <v>51</v>
      </c>
      <c r="C71" s="64">
        <f>C67/C69</f>
        <v>0.43633333333333341</v>
      </c>
    </row>
  </sheetData>
  <mergeCells count="2">
    <mergeCell ref="D14:F14"/>
    <mergeCell ref="B14:C14"/>
  </mergeCells>
  <pageMargins left="0.7" right="0.7" top="0.78740157499999996" bottom="0.78740157499999996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6</vt:i4>
      </vt:variant>
    </vt:vector>
  </HeadingPairs>
  <TitlesOfParts>
    <vt:vector size="21" baseType="lpstr">
      <vt:lpstr>Turmbau DD</vt:lpstr>
      <vt:lpstr>Schnittkräfte S1</vt:lpstr>
      <vt:lpstr>Vereinfachtes Verfahren S6</vt:lpstr>
      <vt:lpstr>Genaues Verfahren S6</vt:lpstr>
      <vt:lpstr>Ausfachungsfläche</vt:lpstr>
      <vt:lpstr>Kellerwand</vt:lpstr>
      <vt:lpstr>Kellerwand 2</vt:lpstr>
      <vt:lpstr>Kellerwand 3</vt:lpstr>
      <vt:lpstr>bew. BW EC6</vt:lpstr>
      <vt:lpstr>R. Steifigkeit</vt:lpstr>
      <vt:lpstr>Aussteifungswand</vt:lpstr>
      <vt:lpstr>Teilfläche</vt:lpstr>
      <vt:lpstr>Bogen+Flachsturz</vt:lpstr>
      <vt:lpstr>Zugdehnung</vt:lpstr>
      <vt:lpstr>Viadukt</vt:lpstr>
      <vt:lpstr>Aussteifungswand!Druckbereich</vt:lpstr>
      <vt:lpstr>'Genaues Verfahren S6'!Druckbereich</vt:lpstr>
      <vt:lpstr>Kellerwand!Druckbereich</vt:lpstr>
      <vt:lpstr>'Kellerwand 2'!Druckbereich</vt:lpstr>
      <vt:lpstr>Viadukt!LK</vt:lpstr>
      <vt:lpstr>Viadukt!LS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uhc;pschoeps</dc:creator>
  <cp:lastModifiedBy>pschoeps</cp:lastModifiedBy>
  <cp:lastPrinted>2017-12-04T07:17:07Z</cp:lastPrinted>
  <dcterms:created xsi:type="dcterms:W3CDTF">2010-10-16T06:52:16Z</dcterms:created>
  <dcterms:modified xsi:type="dcterms:W3CDTF">2023-10-27T13:10:50Z</dcterms:modified>
</cp:coreProperties>
</file>