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_TU\07_WS2122\01_Fahrzeuggetriebe\"/>
    </mc:Choice>
  </mc:AlternateContent>
  <xr:revisionPtr revIDLastSave="0" documentId="13_ncr:1_{FCDF3E53-FC11-4735-9E66-2FE4FB036B1E}" xr6:coauthVersionLast="47" xr6:coauthVersionMax="47" xr10:uidLastSave="{00000000-0000-0000-0000-000000000000}"/>
  <bookViews>
    <workbookView xWindow="-120" yWindow="-120" windowWidth="29040" windowHeight="15990" xr2:uid="{DAE3437A-4E67-4CEA-9550-11C5C61ACDE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J10" i="1"/>
  <c r="J3" i="1"/>
  <c r="F6" i="1"/>
  <c r="D9" i="1" s="1"/>
  <c r="F15" i="1" s="1"/>
  <c r="F5" i="1"/>
  <c r="D8" i="1" s="1"/>
  <c r="F11" i="1" s="1"/>
  <c r="G3" i="1"/>
  <c r="B23" i="1"/>
  <c r="B32" i="1"/>
  <c r="B31" i="1"/>
  <c r="B30" i="1"/>
  <c r="B29" i="1"/>
  <c r="B28" i="1"/>
  <c r="B27" i="1"/>
  <c r="B25" i="1"/>
  <c r="B26" i="1"/>
  <c r="B24" i="1"/>
  <c r="B22" i="1"/>
  <c r="B21" i="1"/>
  <c r="B20" i="1"/>
  <c r="B19" i="1"/>
  <c r="P14" i="1" l="1"/>
  <c r="D21" i="1"/>
  <c r="P10" i="1"/>
  <c r="D11" i="1"/>
  <c r="D17" i="1"/>
  <c r="H11" i="1"/>
  <c r="H12" i="1" s="1"/>
  <c r="H13" i="1" s="1"/>
  <c r="H14" i="1" s="1"/>
  <c r="N7" i="1" l="1"/>
  <c r="E21" i="1"/>
  <c r="N3" i="1"/>
  <c r="E17" i="1"/>
  <c r="L4" i="1"/>
  <c r="J6" i="1"/>
  <c r="D12" i="1"/>
  <c r="F12" i="1" l="1"/>
  <c r="D13" i="1"/>
  <c r="D14" i="1" l="1"/>
  <c r="F13" i="1"/>
  <c r="P11" i="1"/>
  <c r="D18" i="1"/>
  <c r="D15" i="1" l="1"/>
  <c r="C23" i="1" s="1"/>
  <c r="J4" i="1" s="1"/>
  <c r="F14" i="1"/>
  <c r="N4" i="1"/>
  <c r="P4" i="1" s="1"/>
  <c r="L11" i="1" s="1"/>
  <c r="L5" i="1"/>
  <c r="E18" i="1"/>
  <c r="D19" i="1"/>
  <c r="P12" i="1"/>
  <c r="L6" i="1" l="1"/>
  <c r="N5" i="1"/>
  <c r="P5" i="1" s="1"/>
  <c r="L12" i="1" s="1"/>
  <c r="E19" i="1"/>
  <c r="S11" i="1"/>
  <c r="T11" i="1" s="1"/>
  <c r="N11" i="1"/>
  <c r="P13" i="1"/>
  <c r="D20" i="1"/>
  <c r="J8" i="1"/>
  <c r="J9" i="1"/>
  <c r="S12" i="1" l="1"/>
  <c r="T12" i="1" s="1"/>
  <c r="N12" i="1"/>
  <c r="J12" i="1"/>
  <c r="J11" i="1"/>
  <c r="J13" i="1" s="1"/>
  <c r="L7" i="1"/>
  <c r="P8" i="1" s="1"/>
  <c r="E20" i="1"/>
  <c r="N6" i="1"/>
  <c r="P6" i="1" s="1"/>
  <c r="L13" i="1" s="1"/>
  <c r="S13" i="1" l="1"/>
  <c r="T13" i="1" s="1"/>
  <c r="N13" i="1"/>
  <c r="J15" i="1"/>
  <c r="J14" i="1"/>
  <c r="L15" i="1"/>
  <c r="P7" i="1"/>
  <c r="L14" i="1" s="1"/>
  <c r="S15" i="1" l="1"/>
  <c r="T15" i="1" s="1"/>
  <c r="N15" i="1"/>
  <c r="J16" i="1"/>
  <c r="L3" i="1"/>
  <c r="P3" i="1" s="1"/>
  <c r="L10" i="1" s="1"/>
  <c r="N14" i="1"/>
  <c r="S14" i="1"/>
  <c r="T14" i="1" s="1"/>
  <c r="N10" i="1" l="1"/>
  <c r="S10" i="1"/>
  <c r="T10" i="1" s="1"/>
  <c r="L17" i="1" s="1"/>
</calcChain>
</file>

<file path=xl/sharedStrings.xml><?xml version="1.0" encoding="utf-8"?>
<sst xmlns="http://schemas.openxmlformats.org/spreadsheetml/2006/main" count="121" uniqueCount="102">
  <si>
    <t>Gegebene Größen</t>
  </si>
  <si>
    <t>Motorkennlinie</t>
  </si>
  <si>
    <t>max. Motordrehmoment</t>
  </si>
  <si>
    <t>max. Motorleistung</t>
  </si>
  <si>
    <t>min. Motordrehzahl</t>
  </si>
  <si>
    <t>max. Motordrehzahl</t>
  </si>
  <si>
    <t>Fahrzeugkennwerte</t>
  </si>
  <si>
    <t>Fahrzeugmasse</t>
  </si>
  <si>
    <t>dyn. Reifenradius</t>
  </si>
  <si>
    <t>Rollwiderstandsbeiwert</t>
  </si>
  <si>
    <t>Wirkungsgrad</t>
  </si>
  <si>
    <t>Luftdichte</t>
  </si>
  <si>
    <t>cW-Wert</t>
  </si>
  <si>
    <t>Luftangriffsfläche</t>
  </si>
  <si>
    <t>Steigung der Fahrbahn</t>
  </si>
  <si>
    <t>Getriebestruktur</t>
  </si>
  <si>
    <t>Übersetzung Rückwärtsgang</t>
  </si>
  <si>
    <t>Massenträgheitsmomente im System</t>
  </si>
  <si>
    <t>J2</t>
  </si>
  <si>
    <t>J3</t>
  </si>
  <si>
    <t>J4</t>
  </si>
  <si>
    <t>J5</t>
  </si>
  <si>
    <t>Losräder/ J1</t>
  </si>
  <si>
    <t>JR</t>
  </si>
  <si>
    <t>Jab2</t>
  </si>
  <si>
    <t>Antriebswellen/ JA</t>
  </si>
  <si>
    <t>JB</t>
  </si>
  <si>
    <t>Abtriebswellen/ Jab1</t>
  </si>
  <si>
    <t>Antriebswelle vom Motor/ Jan</t>
  </si>
  <si>
    <t>Differential/ JDiff</t>
  </si>
  <si>
    <t>Verbrennungsmotor/ JVM</t>
  </si>
  <si>
    <t>Räder/ JRäder</t>
  </si>
  <si>
    <t>1. Gangauslegung</t>
  </si>
  <si>
    <t>Größenauswahl</t>
  </si>
  <si>
    <t>Achsübersetzung 2</t>
  </si>
  <si>
    <t>Progressionsfaktor</t>
  </si>
  <si>
    <t>min. Geschwindigkeit</t>
  </si>
  <si>
    <t>max. Geschwindigkeit</t>
  </si>
  <si>
    <t>Gesamtübersetzung Gang 1 und 5</t>
  </si>
  <si>
    <t>i1ges</t>
  </si>
  <si>
    <t>i5ges</t>
  </si>
  <si>
    <t>Gesamt-, Einzelübersetzungen und Stufensprünge aller Gänge</t>
  </si>
  <si>
    <t>i1</t>
  </si>
  <si>
    <t>i2</t>
  </si>
  <si>
    <t>i3</t>
  </si>
  <si>
    <t>i4</t>
  </si>
  <si>
    <t>i5</t>
  </si>
  <si>
    <t>i2ges</t>
  </si>
  <si>
    <t>i3ges</t>
  </si>
  <si>
    <t>i4ges</t>
  </si>
  <si>
    <t>φ12</t>
  </si>
  <si>
    <t>φ23</t>
  </si>
  <si>
    <t>φ34</t>
  </si>
  <si>
    <t>φ45</t>
  </si>
  <si>
    <t>iab1</t>
  </si>
  <si>
    <t>max. Ganggeschwindigkeiten</t>
  </si>
  <si>
    <t>v1max</t>
  </si>
  <si>
    <t>v2max</t>
  </si>
  <si>
    <t>v3max</t>
  </si>
  <si>
    <t>v4max</t>
  </si>
  <si>
    <t>v5max</t>
  </si>
  <si>
    <t>reduziertes Massenträgheitsmoment</t>
  </si>
  <si>
    <t>2. Anfahrvorgang</t>
  </si>
  <si>
    <t>reduzierte Massenträgheitsmomente Kupplung</t>
  </si>
  <si>
    <t>JK1</t>
  </si>
  <si>
    <t>JK2</t>
  </si>
  <si>
    <t>Kupplungsberechnungen</t>
  </si>
  <si>
    <t>Kupplung 1</t>
  </si>
  <si>
    <t>TKLast</t>
  </si>
  <si>
    <t>a</t>
  </si>
  <si>
    <t>t</t>
  </si>
  <si>
    <t>b</t>
  </si>
  <si>
    <t>c</t>
  </si>
  <si>
    <t>ts1</t>
  </si>
  <si>
    <t>ts2</t>
  </si>
  <si>
    <t>3. Beschleunigungsvorgang</t>
  </si>
  <si>
    <t>mittlere Fahrzeuggeschwindigkeit pro Gang</t>
  </si>
  <si>
    <t>v1min</t>
  </si>
  <si>
    <t>v2min</t>
  </si>
  <si>
    <t>v3min</t>
  </si>
  <si>
    <t>v4min</t>
  </si>
  <si>
    <t>v5min</t>
  </si>
  <si>
    <t>v120</t>
  </si>
  <si>
    <t>v1m</t>
  </si>
  <si>
    <t>v2m</t>
  </si>
  <si>
    <t>v3m</t>
  </si>
  <si>
    <t>v4m</t>
  </si>
  <si>
    <t>v5m</t>
  </si>
  <si>
    <t>v120m</t>
  </si>
  <si>
    <t>nan</t>
  </si>
  <si>
    <t>van</t>
  </si>
  <si>
    <t>Übersicht</t>
  </si>
  <si>
    <t xml:space="preserve">v1m </t>
  </si>
  <si>
    <t xml:space="preserve">v2m </t>
  </si>
  <si>
    <t xml:space="preserve">v3m </t>
  </si>
  <si>
    <t xml:space="preserve">v4m </t>
  </si>
  <si>
    <t xml:space="preserve">v5m </t>
  </si>
  <si>
    <t>λ1</t>
  </si>
  <si>
    <t>λ2</t>
  </si>
  <si>
    <t>λ3</t>
  </si>
  <si>
    <t>λ4</t>
  </si>
  <si>
    <t>λ5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</si>
</sst>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0" fillId="2" borderId="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0" fillId="2" borderId="0" xfId="0" applyFill="1" applyBorder="1"/>
    <xf numFmtId="0" fontId="0" fillId="0" borderId="4" xfId="0" applyBorder="1"/>
    <xf numFmtId="0" fontId="2" fillId="0" borderId="0" xfId="0" applyFont="1" applyBorder="1"/>
    <xf numFmtId="0" fontId="0" fillId="3" borderId="4" xfId="0" applyFill="1" applyBorder="1"/>
    <xf numFmtId="0" fontId="0" fillId="3" borderId="2" xfId="0" applyFill="1" applyBorder="1"/>
    <xf numFmtId="0" fontId="0" fillId="0" borderId="8" xfId="0" applyBorder="1"/>
    <xf numFmtId="0" fontId="0" fillId="0" borderId="2" xfId="0" applyFill="1" applyBorder="1"/>
    <xf numFmtId="0" fontId="2" fillId="0" borderId="0" xfId="0" applyFont="1"/>
    <xf numFmtId="0" fontId="0" fillId="2" borderId="0" xfId="0" applyFill="1"/>
    <xf numFmtId="0" fontId="0" fillId="4" borderId="0" xfId="0" applyFill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02C21-7CE6-4BCA-B89B-C273F0CA7A54}">
  <dimension ref="A1:T32"/>
  <sheetViews>
    <sheetView tabSelected="1" workbookViewId="0">
      <selection activeCell="L26" sqref="L26"/>
    </sheetView>
  </sheetViews>
  <sheetFormatPr baseColWidth="10" defaultRowHeight="15" x14ac:dyDescent="0.25"/>
  <cols>
    <col min="1" max="1" width="34.42578125" bestFit="1" customWidth="1"/>
    <col min="10" max="10" width="12.7109375" bestFit="1" customWidth="1"/>
    <col min="13" max="13" width="6.7109375" bestFit="1" customWidth="1"/>
    <col min="14" max="14" width="12" bestFit="1" customWidth="1"/>
    <col min="15" max="15" width="6.7109375" bestFit="1" customWidth="1"/>
    <col min="16" max="16" width="12" bestFit="1" customWidth="1"/>
    <col min="17" max="17" width="3" bestFit="1" customWidth="1"/>
    <col min="18" max="18" width="5" bestFit="1" customWidth="1"/>
  </cols>
  <sheetData>
    <row r="1" spans="1:20" x14ac:dyDescent="0.25">
      <c r="A1" s="23" t="s">
        <v>0</v>
      </c>
      <c r="B1" s="24"/>
      <c r="C1" s="25" t="s">
        <v>32</v>
      </c>
      <c r="D1" s="23"/>
      <c r="E1" s="23"/>
      <c r="F1" s="23"/>
      <c r="G1" s="23"/>
      <c r="H1" s="24"/>
      <c r="I1" s="25" t="s">
        <v>62</v>
      </c>
      <c r="J1" s="24"/>
      <c r="K1" t="s">
        <v>75</v>
      </c>
    </row>
    <row r="2" spans="1:20" x14ac:dyDescent="0.25">
      <c r="A2" s="1" t="s">
        <v>1</v>
      </c>
      <c r="B2" s="2"/>
      <c r="C2" s="5" t="s">
        <v>33</v>
      </c>
      <c r="D2" s="1"/>
      <c r="E2" s="1"/>
      <c r="F2" s="1"/>
      <c r="G2" s="1"/>
      <c r="H2" s="2"/>
      <c r="I2" s="5" t="s">
        <v>63</v>
      </c>
      <c r="J2" s="2"/>
      <c r="K2" t="s">
        <v>76</v>
      </c>
    </row>
    <row r="3" spans="1:20" x14ac:dyDescent="0.25">
      <c r="A3" s="3" t="s">
        <v>2</v>
      </c>
      <c r="B3" s="4">
        <v>300</v>
      </c>
      <c r="C3" s="26" t="s">
        <v>34</v>
      </c>
      <c r="D3" s="27"/>
      <c r="E3" s="11">
        <v>3.6</v>
      </c>
      <c r="F3" s="3" t="s">
        <v>54</v>
      </c>
      <c r="G3" s="3">
        <f>0.85*E3</f>
        <v>3.06</v>
      </c>
      <c r="H3" s="4"/>
      <c r="I3" s="12" t="s">
        <v>64</v>
      </c>
      <c r="J3" s="4">
        <f>B31</f>
        <v>0.18</v>
      </c>
      <c r="K3" t="s">
        <v>77</v>
      </c>
      <c r="L3">
        <f>J15</f>
        <v>1.4979308132272511</v>
      </c>
      <c r="M3" t="s">
        <v>56</v>
      </c>
      <c r="N3">
        <f>D17</f>
        <v>12.345679012345679</v>
      </c>
      <c r="O3" t="s">
        <v>83</v>
      </c>
      <c r="P3">
        <f>(L3+N3)/2</f>
        <v>6.9218049127864649</v>
      </c>
    </row>
    <row r="4" spans="1:20" x14ac:dyDescent="0.25">
      <c r="A4" s="3" t="s">
        <v>3</v>
      </c>
      <c r="B4" s="4">
        <v>157</v>
      </c>
      <c r="C4" s="28" t="s">
        <v>35</v>
      </c>
      <c r="D4" s="29"/>
      <c r="E4" s="11">
        <v>1</v>
      </c>
      <c r="F4" s="3"/>
      <c r="G4" s="3"/>
      <c r="H4" s="4"/>
      <c r="I4" s="5" t="s">
        <v>65</v>
      </c>
      <c r="J4" s="2">
        <f>((B8*B9^2+B32)/((D11*E3)^2*(B11/100)))+B29+C23</f>
        <v>0.6516566916740586</v>
      </c>
      <c r="K4" t="s">
        <v>78</v>
      </c>
      <c r="L4">
        <f>D17</f>
        <v>12.345679012345679</v>
      </c>
      <c r="M4" t="s">
        <v>57</v>
      </c>
      <c r="N4">
        <f>D18</f>
        <v>17.005547012306909</v>
      </c>
      <c r="O4" t="s">
        <v>84</v>
      </c>
      <c r="P4">
        <f t="shared" ref="P4:P7" si="0">(L4+N4)/2</f>
        <v>14.675613012326295</v>
      </c>
    </row>
    <row r="5" spans="1:20" x14ac:dyDescent="0.25">
      <c r="A5" s="3" t="s">
        <v>4</v>
      </c>
      <c r="B5" s="4">
        <v>900</v>
      </c>
      <c r="C5" s="28" t="s">
        <v>36</v>
      </c>
      <c r="D5" s="29"/>
      <c r="E5" s="11">
        <v>8</v>
      </c>
      <c r="F5" s="3">
        <f>E5/3.6</f>
        <v>2.2222222222222223</v>
      </c>
      <c r="G5" s="3"/>
      <c r="H5" s="4"/>
      <c r="I5" s="5" t="s">
        <v>66</v>
      </c>
      <c r="J5" s="2"/>
      <c r="K5" t="s">
        <v>79</v>
      </c>
      <c r="L5">
        <f>D18</f>
        <v>17.005547012306909</v>
      </c>
      <c r="M5" t="s">
        <v>58</v>
      </c>
      <c r="N5">
        <f>D19</f>
        <v>23.424278964210217</v>
      </c>
      <c r="O5" t="s">
        <v>85</v>
      </c>
      <c r="P5">
        <f t="shared" si="0"/>
        <v>20.214912988258561</v>
      </c>
    </row>
    <row r="6" spans="1:20" x14ac:dyDescent="0.25">
      <c r="A6" s="1" t="s">
        <v>5</v>
      </c>
      <c r="B6" s="2">
        <v>5000</v>
      </c>
      <c r="C6" s="30" t="s">
        <v>37</v>
      </c>
      <c r="D6" s="31"/>
      <c r="E6" s="6">
        <v>160</v>
      </c>
      <c r="F6" s="1">
        <f>E6/3.6</f>
        <v>44.444444444444443</v>
      </c>
      <c r="G6" s="1"/>
      <c r="H6" s="2"/>
      <c r="I6" s="12" t="s">
        <v>68</v>
      </c>
      <c r="J6" s="4">
        <f>250/(D11*E3*(B11/100))</f>
        <v>20.467456673340447</v>
      </c>
      <c r="K6" t="s">
        <v>80</v>
      </c>
      <c r="L6">
        <f>D19</f>
        <v>23.424278964210217</v>
      </c>
      <c r="M6" t="s">
        <v>59</v>
      </c>
      <c r="N6">
        <f>D20</f>
        <v>32.265756849576761</v>
      </c>
      <c r="O6" t="s">
        <v>86</v>
      </c>
      <c r="P6">
        <f t="shared" si="0"/>
        <v>27.845017906893489</v>
      </c>
    </row>
    <row r="7" spans="1:20" x14ac:dyDescent="0.25">
      <c r="A7" s="1" t="s">
        <v>6</v>
      </c>
      <c r="B7" s="2"/>
      <c r="C7" s="5" t="s">
        <v>38</v>
      </c>
      <c r="D7" s="1"/>
      <c r="E7" s="1"/>
      <c r="F7" s="1"/>
      <c r="G7" s="1"/>
      <c r="H7" s="2"/>
      <c r="I7" s="21" t="s">
        <v>67</v>
      </c>
      <c r="J7" s="22"/>
      <c r="K7" t="s">
        <v>81</v>
      </c>
      <c r="L7">
        <f>D20</f>
        <v>32.265756849576761</v>
      </c>
      <c r="M7" t="s">
        <v>60</v>
      </c>
      <c r="N7">
        <f>D21</f>
        <v>44.444444444444443</v>
      </c>
      <c r="O7" t="s">
        <v>87</v>
      </c>
      <c r="P7">
        <f t="shared" si="0"/>
        <v>38.355100647010602</v>
      </c>
    </row>
    <row r="8" spans="1:20" x14ac:dyDescent="0.25">
      <c r="A8" s="3" t="s">
        <v>7</v>
      </c>
      <c r="B8" s="4">
        <v>1000</v>
      </c>
      <c r="C8" s="12" t="s">
        <v>39</v>
      </c>
      <c r="D8" s="3">
        <f>(B5/60)/(F5/(2*PI()*B9))</f>
        <v>13.571680263507908</v>
      </c>
      <c r="E8" s="3"/>
      <c r="F8" s="3"/>
      <c r="G8" s="3"/>
      <c r="H8" s="4"/>
      <c r="I8" s="12" t="s">
        <v>69</v>
      </c>
      <c r="J8" s="16">
        <f>(-100/(2*J4))+(100/(2*J3))</f>
        <v>201.05026060680598</v>
      </c>
      <c r="M8" t="s">
        <v>82</v>
      </c>
      <c r="N8">
        <f>120/3.6</f>
        <v>33.333333333333336</v>
      </c>
      <c r="O8" t="s">
        <v>88</v>
      </c>
      <c r="P8">
        <f>(L7+N8)/2</f>
        <v>32.799545091455045</v>
      </c>
    </row>
    <row r="9" spans="1:20" x14ac:dyDescent="0.25">
      <c r="A9" s="3" t="s">
        <v>8</v>
      </c>
      <c r="B9" s="4">
        <v>0.32</v>
      </c>
      <c r="C9" s="5" t="s">
        <v>40</v>
      </c>
      <c r="D9" s="1">
        <f>(B6/60)/(F6/(2*PI()*B9))</f>
        <v>3.7699111843077522</v>
      </c>
      <c r="E9" s="1"/>
      <c r="F9" s="1"/>
      <c r="G9" s="1"/>
      <c r="H9" s="2"/>
      <c r="I9" s="12" t="s">
        <v>71</v>
      </c>
      <c r="J9" s="4">
        <f>1/(2*PI())*((250-J6)/J4-50/J3)</f>
        <v>11.849318740450158</v>
      </c>
      <c r="K9" t="s">
        <v>91</v>
      </c>
    </row>
    <row r="10" spans="1:20" x14ac:dyDescent="0.25">
      <c r="A10" s="3" t="s">
        <v>9</v>
      </c>
      <c r="B10" s="4">
        <v>0.01</v>
      </c>
      <c r="C10" s="5" t="s">
        <v>41</v>
      </c>
      <c r="D10" s="1"/>
      <c r="E10" s="1"/>
      <c r="F10" s="1"/>
      <c r="G10" s="1"/>
      <c r="H10" s="2"/>
      <c r="I10" s="12" t="s">
        <v>72</v>
      </c>
      <c r="J10" s="4">
        <f>-25</f>
        <v>-25</v>
      </c>
      <c r="K10" t="s">
        <v>92</v>
      </c>
      <c r="L10">
        <f>P3</f>
        <v>6.9218049127864649</v>
      </c>
      <c r="M10" t="s">
        <v>92</v>
      </c>
      <c r="N10">
        <f>L10*3.6</f>
        <v>24.918497686031273</v>
      </c>
      <c r="O10" t="s">
        <v>39</v>
      </c>
      <c r="P10">
        <f>F11</f>
        <v>13.571680263507908</v>
      </c>
      <c r="Q10" s="18" t="s">
        <v>97</v>
      </c>
      <c r="R10" s="19">
        <v>1.25</v>
      </c>
      <c r="S10">
        <f>-($B$9*($B$13*($B$12/2)*$B$14*L10^2+9.80665*$B$8*($B$10*COS(RADIANS(4.004))+SIN(RADIANS(4.004))))-($B$11/100)*$E$3*D11*$B$3)/(R10*$B$8*$B$9)</f>
        <v>8.5179714707698562</v>
      </c>
      <c r="T10">
        <f>L10/S10</f>
        <v>0.81261189199086048</v>
      </c>
    </row>
    <row r="11" spans="1:20" x14ac:dyDescent="0.25">
      <c r="A11" s="3" t="s">
        <v>10</v>
      </c>
      <c r="B11" s="4">
        <v>90</v>
      </c>
      <c r="C11" s="12" t="s">
        <v>42</v>
      </c>
      <c r="D11" s="3">
        <f>F11/E3</f>
        <v>3.7699111843077522</v>
      </c>
      <c r="E11" s="3" t="s">
        <v>39</v>
      </c>
      <c r="F11" s="3">
        <f>D8</f>
        <v>13.571680263507908</v>
      </c>
      <c r="G11" s="13" t="s">
        <v>50</v>
      </c>
      <c r="H11" s="4">
        <f>(E4^(3/2)*F11^(1/4))/F15^(1/4)</f>
        <v>1.3774493079968597</v>
      </c>
      <c r="I11" s="14" t="s">
        <v>73</v>
      </c>
      <c r="J11" s="15">
        <f>(-J9+SQRT(J9^2-4*J8*J10))/(2*J8)</f>
        <v>0.32438934874193648</v>
      </c>
      <c r="K11" t="s">
        <v>93</v>
      </c>
      <c r="L11">
        <f t="shared" ref="L11:L15" si="1">P4</f>
        <v>14.675613012326295</v>
      </c>
      <c r="M11" t="s">
        <v>93</v>
      </c>
      <c r="N11">
        <f t="shared" ref="N11:N15" si="2">L11*3.6</f>
        <v>52.83220684437466</v>
      </c>
      <c r="O11" t="s">
        <v>47</v>
      </c>
      <c r="P11">
        <f>F12</f>
        <v>9.8527620470072854</v>
      </c>
      <c r="Q11" s="18" t="s">
        <v>98</v>
      </c>
      <c r="R11" s="19">
        <v>1.1499999999999999</v>
      </c>
      <c r="S11">
        <f>-($B$9*($B$13*($B$12/2)*$B$14*L11^2+9.80665*$B$8*($B$10*COS(RADIANS(4.004))+SIN(RADIANS(4.004))))-($B$11/100)*$E$3*D12*$B$3)/(R11*$B$8*$B$9)</f>
        <v>6.466121740085442</v>
      </c>
      <c r="T11">
        <f t="shared" ref="T11:T14" si="3">L11/S11</f>
        <v>2.2696159463481389</v>
      </c>
    </row>
    <row r="12" spans="1:20" x14ac:dyDescent="0.25">
      <c r="A12" s="3" t="s">
        <v>11</v>
      </c>
      <c r="B12" s="4">
        <v>1.26</v>
      </c>
      <c r="C12" s="12" t="s">
        <v>43</v>
      </c>
      <c r="D12" s="3">
        <f>D11/H11</f>
        <v>2.7368783463909123</v>
      </c>
      <c r="E12" s="3" t="s">
        <v>47</v>
      </c>
      <c r="F12" s="3">
        <f>D12*$E$3</f>
        <v>9.8527620470072854</v>
      </c>
      <c r="G12" s="13" t="s">
        <v>51</v>
      </c>
      <c r="H12" s="4">
        <f>H11/$E$4</f>
        <v>1.3774493079968597</v>
      </c>
      <c r="I12" s="14" t="s">
        <v>74</v>
      </c>
      <c r="J12" s="15">
        <f>(-J9-SQRT(J9^2-4*J8*J10))/(2*J8)</f>
        <v>-0.38332644588713172</v>
      </c>
      <c r="K12" t="s">
        <v>94</v>
      </c>
      <c r="L12">
        <f t="shared" si="1"/>
        <v>20.214912988258561</v>
      </c>
      <c r="M12" t="s">
        <v>94</v>
      </c>
      <c r="N12">
        <f t="shared" si="2"/>
        <v>72.773686757730829</v>
      </c>
      <c r="O12" t="s">
        <v>48</v>
      </c>
      <c r="P12">
        <f>F13</f>
        <v>7.1529035513731927</v>
      </c>
      <c r="Q12" s="18" t="s">
        <v>99</v>
      </c>
      <c r="R12" s="19">
        <v>1.1000000000000001</v>
      </c>
      <c r="S12">
        <f>-($B$9*($B$13*($B$12/2)*$B$14*L12^2+9.80665*$B$8*($B$10*COS(RADIANS(4.004))+SIN(RADIANS(4.004))))-($B$11/100)*$E$3*D13*$B$3)/(R12*$B$8*$B$9)</f>
        <v>4.6119155687328321</v>
      </c>
      <c r="T12">
        <f t="shared" si="3"/>
        <v>4.3831923388425782</v>
      </c>
    </row>
    <row r="13" spans="1:20" x14ac:dyDescent="0.25">
      <c r="A13" s="3" t="s">
        <v>12</v>
      </c>
      <c r="B13" s="4">
        <v>0.31</v>
      </c>
      <c r="C13" s="12" t="s">
        <v>44</v>
      </c>
      <c r="D13" s="3">
        <f t="shared" ref="D13:D15" si="4">D12/H12</f>
        <v>1.9869176531592201</v>
      </c>
      <c r="E13" s="3" t="s">
        <v>48</v>
      </c>
      <c r="F13" s="3">
        <f t="shared" ref="F13:F14" si="5">D13*$E$3</f>
        <v>7.1529035513731927</v>
      </c>
      <c r="G13" s="13" t="s">
        <v>52</v>
      </c>
      <c r="H13" s="4">
        <f t="shared" ref="H13:H14" si="6">H12/$E$4</f>
        <v>1.3774493079968597</v>
      </c>
      <c r="I13" s="7" t="s">
        <v>89</v>
      </c>
      <c r="J13" s="17">
        <f>25+(1/(2*PI())*(50/J3)*J11)-((100/(2*J3))*J11^2)</f>
        <v>10.111032989283945</v>
      </c>
      <c r="K13" t="s">
        <v>95</v>
      </c>
      <c r="L13">
        <f t="shared" si="1"/>
        <v>27.845017906893489</v>
      </c>
      <c r="M13" t="s">
        <v>95</v>
      </c>
      <c r="N13">
        <f t="shared" si="2"/>
        <v>100.24206446481656</v>
      </c>
      <c r="O13" t="s">
        <v>49</v>
      </c>
      <c r="P13">
        <f>F14</f>
        <v>5.1928615520343344</v>
      </c>
      <c r="Q13" s="18" t="s">
        <v>100</v>
      </c>
      <c r="R13" s="19">
        <v>1.05</v>
      </c>
      <c r="S13">
        <f>-($B$9*($B$13*($B$12/2)*$B$14*L13^2+9.80665*$B$8*($B$10*COS(RADIANS(4.004))+SIN(RADIANS(4.004))))-($B$11/100)*$E$3*D14*$B$3)/(R13*$B$8*$B$9)</f>
        <v>3.1030319274721023</v>
      </c>
      <c r="T13">
        <f t="shared" si="3"/>
        <v>8.9734874012648476</v>
      </c>
    </row>
    <row r="14" spans="1:20" x14ac:dyDescent="0.25">
      <c r="A14" s="3" t="s">
        <v>13</v>
      </c>
      <c r="B14" s="4">
        <v>2.25</v>
      </c>
      <c r="C14" s="12" t="s">
        <v>45</v>
      </c>
      <c r="D14" s="3">
        <f t="shared" si="4"/>
        <v>1.4424615422317595</v>
      </c>
      <c r="E14" s="3" t="s">
        <v>49</v>
      </c>
      <c r="F14" s="3">
        <f t="shared" si="5"/>
        <v>5.1928615520343344</v>
      </c>
      <c r="G14" s="13" t="s">
        <v>53</v>
      </c>
      <c r="H14" s="4">
        <f t="shared" si="6"/>
        <v>1.3774493079968597</v>
      </c>
      <c r="I14" s="12"/>
      <c r="J14" s="4">
        <f>J13*60</f>
        <v>606.66197935703667</v>
      </c>
      <c r="K14" t="s">
        <v>96</v>
      </c>
      <c r="L14">
        <f t="shared" si="1"/>
        <v>38.355100647010602</v>
      </c>
      <c r="M14" t="s">
        <v>96</v>
      </c>
      <c r="N14">
        <f t="shared" si="2"/>
        <v>138.07836232923816</v>
      </c>
      <c r="O14" t="s">
        <v>40</v>
      </c>
      <c r="P14">
        <f>F15</f>
        <v>3.7699111843077522</v>
      </c>
      <c r="Q14" s="18" t="s">
        <v>101</v>
      </c>
      <c r="R14" s="19">
        <v>1.0249999999999999</v>
      </c>
      <c r="S14">
        <f>-($B$9*($B$13*($B$12/2)*$B$14*L14^2+9.80665*$B$8*($B$10*COS(RADIANS(4.004))+SIN(RADIANS(4.004))))-($B$11/100)*$E$3*D15*$B$3)/(R14*$B$8*$B$9)</f>
        <v>1.7091033949202352</v>
      </c>
      <c r="T14">
        <f t="shared" si="3"/>
        <v>22.441650260018736</v>
      </c>
    </row>
    <row r="15" spans="1:20" x14ac:dyDescent="0.25">
      <c r="A15" s="1" t="s">
        <v>14</v>
      </c>
      <c r="B15" s="2">
        <v>7</v>
      </c>
      <c r="C15" s="5" t="s">
        <v>46</v>
      </c>
      <c r="D15" s="1">
        <f t="shared" si="4"/>
        <v>1.0471975511965976</v>
      </c>
      <c r="E15" s="1" t="s">
        <v>40</v>
      </c>
      <c r="F15" s="1">
        <f>D9</f>
        <v>3.7699111843077522</v>
      </c>
      <c r="G15" s="1"/>
      <c r="H15" s="2"/>
      <c r="I15" s="12" t="s">
        <v>90</v>
      </c>
      <c r="J15" s="4">
        <f>(J13/(E3*D11))*2*PI()*B9</f>
        <v>1.4979308132272511</v>
      </c>
      <c r="K15" t="s">
        <v>88</v>
      </c>
      <c r="L15">
        <f t="shared" si="1"/>
        <v>32.799545091455045</v>
      </c>
      <c r="M15" t="s">
        <v>88</v>
      </c>
      <c r="N15">
        <f t="shared" si="2"/>
        <v>118.07836232923816</v>
      </c>
      <c r="S15">
        <f>-($B$9*($B$13*($B$12/2)*$B$14*L15^2+9.80665*$B$8*($B$10*COS(RADIANS(4.004))+SIN(RADIANS(4.004))))-($B$11/100)*$E$3*D15*$B$3)/(R14*$B$8*$B$9)</f>
        <v>1.8785729353192877</v>
      </c>
      <c r="T15">
        <f>L15/S15</f>
        <v>17.459819884970472</v>
      </c>
    </row>
    <row r="16" spans="1:20" x14ac:dyDescent="0.25">
      <c r="A16" s="1" t="s">
        <v>15</v>
      </c>
      <c r="B16" s="2"/>
      <c r="C16" s="5" t="s">
        <v>55</v>
      </c>
      <c r="D16" s="1"/>
      <c r="E16" s="1"/>
      <c r="F16" s="1"/>
      <c r="G16" s="1"/>
      <c r="H16" s="2"/>
      <c r="I16" s="12"/>
      <c r="J16" s="4">
        <f>J15*3.6</f>
        <v>5.3925509276181041</v>
      </c>
    </row>
    <row r="17" spans="1:12" x14ac:dyDescent="0.25">
      <c r="A17" s="1" t="s">
        <v>16</v>
      </c>
      <c r="B17" s="2">
        <v>3.4</v>
      </c>
      <c r="C17" s="7" t="s">
        <v>56</v>
      </c>
      <c r="D17" s="8">
        <f>(2*($B$6/60)*PI()*$B$9)/F11</f>
        <v>12.345679012345679</v>
      </c>
      <c r="E17" s="3">
        <f>D17*3.6</f>
        <v>44.444444444444443</v>
      </c>
      <c r="F17" s="3"/>
      <c r="G17" s="3"/>
      <c r="H17" s="4"/>
      <c r="I17" s="12"/>
      <c r="J17" s="4"/>
      <c r="K17" s="20" t="s">
        <v>70</v>
      </c>
      <c r="L17" s="20">
        <f>J11+T10+T11+T12+T13+T15</f>
        <v>34.223116812158835</v>
      </c>
    </row>
    <row r="18" spans="1:12" x14ac:dyDescent="0.25">
      <c r="A18" s="1" t="s">
        <v>17</v>
      </c>
      <c r="B18" s="2"/>
      <c r="C18" s="7" t="s">
        <v>57</v>
      </c>
      <c r="D18" s="8">
        <f t="shared" ref="D18:D21" si="7">(2*($B$6/60)*PI()*$B$9)/F12</f>
        <v>17.005547012306909</v>
      </c>
      <c r="E18" s="3">
        <f t="shared" ref="E18:E21" si="8">D18*3.6</f>
        <v>61.219969244304878</v>
      </c>
      <c r="F18" s="3"/>
      <c r="G18" s="3"/>
      <c r="H18" s="4"/>
      <c r="I18" s="12"/>
      <c r="J18" s="3"/>
    </row>
    <row r="19" spans="1:12" x14ac:dyDescent="0.25">
      <c r="A19" s="3" t="s">
        <v>22</v>
      </c>
      <c r="B19" s="4">
        <f>1*10^-3</f>
        <v>1E-3</v>
      </c>
      <c r="C19" s="7" t="s">
        <v>58</v>
      </c>
      <c r="D19" s="8">
        <f t="shared" si="7"/>
        <v>23.424278964210217</v>
      </c>
      <c r="E19" s="3">
        <f t="shared" si="8"/>
        <v>84.32740427115678</v>
      </c>
      <c r="F19" s="3"/>
      <c r="G19" s="3"/>
      <c r="H19" s="4"/>
      <c r="I19" s="12"/>
      <c r="J19" s="3"/>
    </row>
    <row r="20" spans="1:12" x14ac:dyDescent="0.25">
      <c r="A20" s="3" t="s">
        <v>18</v>
      </c>
      <c r="B20" s="4">
        <f>0.55*10^-3</f>
        <v>5.5000000000000003E-4</v>
      </c>
      <c r="C20" s="7" t="s">
        <v>59</v>
      </c>
      <c r="D20" s="8">
        <f t="shared" si="7"/>
        <v>32.265756849576761</v>
      </c>
      <c r="E20" s="3">
        <f t="shared" si="8"/>
        <v>116.15672465847634</v>
      </c>
      <c r="F20" s="3"/>
      <c r="G20" s="3"/>
      <c r="H20" s="4"/>
      <c r="I20" s="12"/>
      <c r="J20" s="3"/>
    </row>
    <row r="21" spans="1:12" x14ac:dyDescent="0.25">
      <c r="A21" s="3" t="s">
        <v>19</v>
      </c>
      <c r="B21" s="4">
        <f>0.33*10^-3</f>
        <v>3.3E-4</v>
      </c>
      <c r="C21" s="9" t="s">
        <v>60</v>
      </c>
      <c r="D21" s="10">
        <f t="shared" si="7"/>
        <v>44.444444444444443</v>
      </c>
      <c r="E21" s="1">
        <f t="shared" si="8"/>
        <v>160</v>
      </c>
      <c r="F21" s="1"/>
      <c r="G21" s="1"/>
      <c r="H21" s="2"/>
    </row>
    <row r="22" spans="1:12" x14ac:dyDescent="0.25">
      <c r="A22" s="3" t="s">
        <v>20</v>
      </c>
      <c r="B22" s="4">
        <f>0.2*10^-3</f>
        <v>2.0000000000000001E-4</v>
      </c>
      <c r="C22" s="9" t="s">
        <v>61</v>
      </c>
      <c r="D22" s="1"/>
      <c r="E22" s="1"/>
      <c r="F22" s="1"/>
      <c r="G22" s="1"/>
      <c r="H22" s="2"/>
    </row>
    <row r="23" spans="1:12" x14ac:dyDescent="0.25">
      <c r="A23" s="3" t="s">
        <v>21</v>
      </c>
      <c r="B23" s="4">
        <f>0.15*10^-3</f>
        <v>1.4999999999999999E-4</v>
      </c>
      <c r="C23" s="12">
        <f>B26+B19*(1/D11^2)+B28*(1/D11^2)+B21*(1/D13^2)+B23*(1/D15^2)+B24*(1/B17^2)+B27*(1/D15^2)+B30*(1/(D11^2*E3^2))</f>
        <v>1.4355342374211558E-2</v>
      </c>
      <c r="D23" s="3"/>
      <c r="E23" s="3"/>
      <c r="F23" s="3"/>
      <c r="G23" s="3"/>
      <c r="H23" s="4"/>
    </row>
    <row r="24" spans="1:12" x14ac:dyDescent="0.25">
      <c r="A24" s="3" t="s">
        <v>23</v>
      </c>
      <c r="B24" s="4">
        <f>0.2*10^-3</f>
        <v>2.0000000000000001E-4</v>
      </c>
      <c r="C24" s="12"/>
      <c r="D24" s="3"/>
      <c r="E24" s="3"/>
      <c r="F24" s="3"/>
      <c r="G24" s="3"/>
      <c r="H24" s="4"/>
    </row>
    <row r="25" spans="1:12" x14ac:dyDescent="0.25">
      <c r="A25" s="3" t="s">
        <v>25</v>
      </c>
      <c r="B25" s="4">
        <f>7*10^-3</f>
        <v>7.0000000000000001E-3</v>
      </c>
      <c r="C25" s="12"/>
      <c r="D25" s="3"/>
      <c r="E25" s="3"/>
      <c r="F25" s="3"/>
      <c r="G25" s="3"/>
      <c r="H25" s="4"/>
    </row>
    <row r="26" spans="1:12" x14ac:dyDescent="0.25">
      <c r="A26" s="3" t="s">
        <v>26</v>
      </c>
      <c r="B26" s="4">
        <f>11*10^-3</f>
        <v>1.0999999999999999E-2</v>
      </c>
      <c r="C26" s="12"/>
      <c r="D26" s="3"/>
      <c r="E26" s="3"/>
      <c r="F26" s="3"/>
      <c r="G26" s="3"/>
      <c r="H26" s="4"/>
    </row>
    <row r="27" spans="1:12" x14ac:dyDescent="0.25">
      <c r="A27" s="3" t="s">
        <v>27</v>
      </c>
      <c r="B27" s="4">
        <f>3*10^-3</f>
        <v>3.0000000000000001E-3</v>
      </c>
      <c r="C27" s="12"/>
      <c r="D27" s="3"/>
      <c r="E27" s="3"/>
      <c r="F27" s="3"/>
      <c r="G27" s="3"/>
      <c r="H27" s="4"/>
    </row>
    <row r="28" spans="1:12" x14ac:dyDescent="0.25">
      <c r="A28" s="3" t="s">
        <v>24</v>
      </c>
      <c r="B28" s="4">
        <f>2.5*10^-3</f>
        <v>2.5000000000000001E-3</v>
      </c>
      <c r="C28" s="12"/>
      <c r="D28" s="3"/>
      <c r="E28" s="3"/>
      <c r="F28" s="3"/>
      <c r="G28" s="3"/>
      <c r="H28" s="4"/>
    </row>
    <row r="29" spans="1:12" x14ac:dyDescent="0.25">
      <c r="A29" s="3" t="s">
        <v>28</v>
      </c>
      <c r="B29" s="4">
        <f>11.5*10^-3</f>
        <v>1.15E-2</v>
      </c>
      <c r="C29" s="12"/>
      <c r="D29" s="3"/>
      <c r="E29" s="3"/>
      <c r="F29" s="3"/>
      <c r="G29" s="3"/>
      <c r="H29" s="4"/>
    </row>
    <row r="30" spans="1:12" x14ac:dyDescent="0.25">
      <c r="A30" s="3" t="s">
        <v>29</v>
      </c>
      <c r="B30" s="4">
        <f>25*10^-3</f>
        <v>2.5000000000000001E-2</v>
      </c>
      <c r="C30" s="12"/>
      <c r="D30" s="3"/>
      <c r="E30" s="3"/>
      <c r="F30" s="3"/>
      <c r="G30" s="3"/>
      <c r="H30" s="4"/>
    </row>
    <row r="31" spans="1:12" x14ac:dyDescent="0.25">
      <c r="A31" s="3" t="s">
        <v>30</v>
      </c>
      <c r="B31" s="4">
        <f>0.18</f>
        <v>0.18</v>
      </c>
      <c r="C31" s="12"/>
      <c r="D31" s="3"/>
      <c r="E31" s="3"/>
      <c r="F31" s="3"/>
      <c r="G31" s="3"/>
      <c r="H31" s="4"/>
    </row>
    <row r="32" spans="1:12" x14ac:dyDescent="0.25">
      <c r="A32" s="3" t="s">
        <v>31</v>
      </c>
      <c r="B32" s="4">
        <f>1.34</f>
        <v>1.34</v>
      </c>
      <c r="C32" s="12"/>
      <c r="D32" s="3"/>
      <c r="E32" s="3"/>
      <c r="F32" s="3"/>
      <c r="G32" s="3"/>
      <c r="H32" s="4"/>
    </row>
  </sheetData>
  <mergeCells count="8">
    <mergeCell ref="I7:J7"/>
    <mergeCell ref="A1:B1"/>
    <mergeCell ref="C1:H1"/>
    <mergeCell ref="C3:D3"/>
    <mergeCell ref="C4:D4"/>
    <mergeCell ref="C5:D5"/>
    <mergeCell ref="C6:D6"/>
    <mergeCell ref="I1:J1"/>
  </mergeCells>
  <pageMargins left="0.7" right="0.7" top="0.78740157499999996" bottom="0.78740157499999996" header="0.3" footer="0.3"/>
  <pageSetup paperSize="9" orientation="portrait" r:id="rId1"/>
  <ignoredErrors>
    <ignoredError sqref="B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Reichardt</dc:creator>
  <cp:lastModifiedBy>Martin Reichardt</cp:lastModifiedBy>
  <dcterms:created xsi:type="dcterms:W3CDTF">2022-01-08T12:54:03Z</dcterms:created>
  <dcterms:modified xsi:type="dcterms:W3CDTF">2022-01-08T15:38:52Z</dcterms:modified>
</cp:coreProperties>
</file>