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D51BADDE-A15F-384E-8F2E-5996E244D0E5}" xr6:coauthVersionLast="45" xr6:coauthVersionMax="45" xr10:uidLastSave="{00000000-0000-0000-0000-000000000000}"/>
  <workbookProtection workbookAlgorithmName="SHA-512" workbookHashValue="xWmzrnJ9fJmr6ToYunCjPCkTKxD7FlgvB82PKtYHkuXjZ7gUVbX2izNWDlVP9PbGzO+hHsorOblYijuP1eK1hg==" workbookSaltValue="js4GFKQF6ryN0xvwk0Uhbw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H1" i="1"/>
  <c r="G1" i="1"/>
  <c r="E1" i="1"/>
  <c r="H3" i="1"/>
  <c r="G3" i="1"/>
  <c r="A217" i="1"/>
  <c r="D210" i="1"/>
  <c r="C3" i="1"/>
  <c r="B3" i="1"/>
  <c r="A3" i="1"/>
  <c r="T208" i="1"/>
  <c r="T209" i="1"/>
  <c r="E210" i="1"/>
  <c r="E209" i="1"/>
  <c r="A210" i="1"/>
  <c r="B210" i="1" s="1"/>
  <c r="A209" i="1"/>
  <c r="E212" i="1" l="1"/>
  <c r="F210" i="1" l="1"/>
  <c r="N256" i="1"/>
  <c r="N264" i="1"/>
  <c r="N252" i="1"/>
  <c r="N260" i="1"/>
  <c r="N254" i="1"/>
  <c r="N258" i="1"/>
  <c r="N262" i="1"/>
  <c r="N266" i="1"/>
  <c r="N270" i="1"/>
  <c r="N253" i="1"/>
  <c r="N257" i="1"/>
  <c r="N261" i="1"/>
  <c r="N265" i="1"/>
  <c r="N269" i="1"/>
  <c r="N268" i="1"/>
  <c r="N251" i="1"/>
  <c r="N255" i="1"/>
  <c r="N259" i="1"/>
  <c r="N263" i="1"/>
  <c r="N267" i="1"/>
  <c r="N240" i="1"/>
  <c r="N234" i="1"/>
  <c r="N248" i="1"/>
  <c r="N230" i="1"/>
  <c r="N237" i="1"/>
  <c r="N232" i="1"/>
  <c r="N236" i="1"/>
  <c r="N244" i="1"/>
  <c r="N245" i="1"/>
  <c r="N233" i="1"/>
  <c r="N241" i="1"/>
  <c r="N238" i="1"/>
  <c r="N242" i="1"/>
  <c r="N246" i="1"/>
  <c r="N250" i="1"/>
  <c r="N249" i="1"/>
  <c r="N231" i="1"/>
  <c r="N235" i="1"/>
  <c r="N239" i="1"/>
  <c r="N247" i="1"/>
  <c r="N243" i="1"/>
  <c r="K209" i="1" l="1"/>
  <c r="K210" i="1" s="1"/>
  <c r="I211" i="1" l="1"/>
  <c r="I210" i="1"/>
  <c r="J210" i="1" s="1"/>
  <c r="S230" i="1" l="1"/>
  <c r="T230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L239" i="1"/>
  <c r="L235" i="1"/>
  <c r="L231" i="1"/>
  <c r="L268" i="1"/>
  <c r="L264" i="1"/>
  <c r="M264" i="1" s="1"/>
  <c r="L260" i="1"/>
  <c r="L256" i="1"/>
  <c r="M256" i="1" s="1"/>
  <c r="L252" i="1"/>
  <c r="L248" i="1"/>
  <c r="L244" i="1"/>
  <c r="L240" i="1"/>
  <c r="L236" i="1"/>
  <c r="L232" i="1"/>
  <c r="L207" i="1"/>
  <c r="L230" i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L245" i="1"/>
  <c r="L241" i="1"/>
  <c r="L237" i="1"/>
  <c r="L233" i="1"/>
  <c r="L270" i="1"/>
  <c r="M270" i="1" s="1"/>
  <c r="L266" i="1"/>
  <c r="L262" i="1"/>
  <c r="M262" i="1" s="1"/>
  <c r="L258" i="1"/>
  <c r="L254" i="1"/>
  <c r="M254" i="1" s="1"/>
  <c r="L250" i="1"/>
  <c r="L246" i="1"/>
  <c r="L242" i="1"/>
  <c r="L238" i="1"/>
  <c r="L234" i="1"/>
  <c r="P255" i="1" l="1"/>
  <c r="Q255" i="1" s="1"/>
  <c r="P247" i="1"/>
  <c r="Q247" i="1" s="1"/>
  <c r="U230" i="1"/>
  <c r="AE230" i="1" s="1"/>
  <c r="AB230" i="1"/>
  <c r="AD230" i="1"/>
  <c r="P263" i="1"/>
  <c r="Q263" i="1" s="1"/>
  <c r="P267" i="1"/>
  <c r="Q267" i="1" s="1"/>
  <c r="P259" i="1"/>
  <c r="Q259" i="1" s="1"/>
  <c r="P251" i="1"/>
  <c r="Q251" i="1" s="1"/>
  <c r="M246" i="1"/>
  <c r="P246" i="1"/>
  <c r="Q246" i="1" s="1"/>
  <c r="M233" i="1"/>
  <c r="P233" i="1"/>
  <c r="Q233" i="1" s="1"/>
  <c r="M241" i="1"/>
  <c r="P241" i="1"/>
  <c r="Q241" i="1" s="1"/>
  <c r="M249" i="1"/>
  <c r="P249" i="1"/>
  <c r="Q249" i="1" s="1"/>
  <c r="M230" i="1"/>
  <c r="P230" i="1"/>
  <c r="Q230" i="1" s="1"/>
  <c r="L208" i="1"/>
  <c r="P207" i="1"/>
  <c r="M207" i="1"/>
  <c r="M236" i="1"/>
  <c r="P236" i="1"/>
  <c r="Q236" i="1" s="1"/>
  <c r="M244" i="1"/>
  <c r="P244" i="1"/>
  <c r="Q244" i="1" s="1"/>
  <c r="M252" i="1"/>
  <c r="P252" i="1"/>
  <c r="Q252" i="1" s="1"/>
  <c r="M260" i="1"/>
  <c r="P260" i="1"/>
  <c r="Q260" i="1" s="1"/>
  <c r="M268" i="1"/>
  <c r="P268" i="1"/>
  <c r="Q268" i="1" s="1"/>
  <c r="M231" i="1"/>
  <c r="P231" i="1"/>
  <c r="Q231" i="1" s="1"/>
  <c r="M239" i="1"/>
  <c r="P239" i="1"/>
  <c r="Q239" i="1" s="1"/>
  <c r="P265" i="1"/>
  <c r="Q265" i="1" s="1"/>
  <c r="P257" i="1"/>
  <c r="Q257" i="1" s="1"/>
  <c r="P262" i="1"/>
  <c r="Q262" i="1" s="1"/>
  <c r="P264" i="1"/>
  <c r="Q264" i="1" s="1"/>
  <c r="P270" i="1"/>
  <c r="Q270" i="1" s="1"/>
  <c r="M238" i="1"/>
  <c r="P238" i="1"/>
  <c r="Q238" i="1" s="1"/>
  <c r="M234" i="1"/>
  <c r="P234" i="1"/>
  <c r="Q234" i="1" s="1"/>
  <c r="M242" i="1"/>
  <c r="P242" i="1"/>
  <c r="Q242" i="1" s="1"/>
  <c r="M250" i="1"/>
  <c r="P250" i="1"/>
  <c r="Q250" i="1" s="1"/>
  <c r="M258" i="1"/>
  <c r="P258" i="1"/>
  <c r="Q258" i="1" s="1"/>
  <c r="M266" i="1"/>
  <c r="P266" i="1"/>
  <c r="Q266" i="1" s="1"/>
  <c r="M237" i="1"/>
  <c r="P237" i="1"/>
  <c r="Q237" i="1" s="1"/>
  <c r="M245" i="1"/>
  <c r="P245" i="1"/>
  <c r="Q245" i="1" s="1"/>
  <c r="M232" i="1"/>
  <c r="P232" i="1"/>
  <c r="Q232" i="1" s="1"/>
  <c r="M240" i="1"/>
  <c r="P240" i="1"/>
  <c r="Q240" i="1" s="1"/>
  <c r="M248" i="1"/>
  <c r="P248" i="1"/>
  <c r="Q248" i="1" s="1"/>
  <c r="M235" i="1"/>
  <c r="P235" i="1"/>
  <c r="Q235" i="1" s="1"/>
  <c r="M243" i="1"/>
  <c r="P243" i="1"/>
  <c r="Q243" i="1" s="1"/>
  <c r="S231" i="1"/>
  <c r="V230" i="1"/>
  <c r="P269" i="1"/>
  <c r="Q269" i="1" s="1"/>
  <c r="P261" i="1"/>
  <c r="Q261" i="1" s="1"/>
  <c r="P253" i="1"/>
  <c r="Q253" i="1" s="1"/>
  <c r="P254" i="1"/>
  <c r="Q254" i="1" s="1"/>
  <c r="P256" i="1"/>
  <c r="Q256" i="1" s="1"/>
  <c r="W230" i="1" l="1"/>
  <c r="AC230" i="1"/>
  <c r="S232" i="1"/>
  <c r="V231" i="1"/>
  <c r="T231" i="1"/>
  <c r="U231" i="1" s="1"/>
  <c r="O207" i="1"/>
  <c r="N207" i="1"/>
  <c r="Q207" i="1" s="1"/>
  <c r="L209" i="1"/>
  <c r="M208" i="1"/>
  <c r="P208" i="1"/>
  <c r="AA230" i="1" l="1"/>
  <c r="AF230" i="1"/>
  <c r="AC231" i="1"/>
  <c r="AE231" i="1"/>
  <c r="AD231" i="1"/>
  <c r="W231" i="1"/>
  <c r="AF231" i="1" s="1"/>
  <c r="N208" i="1"/>
  <c r="Q208" i="1" s="1"/>
  <c r="O208" i="1"/>
  <c r="S233" i="1"/>
  <c r="V232" i="1"/>
  <c r="T232" i="1"/>
  <c r="U232" i="1" s="1"/>
  <c r="P209" i="1"/>
  <c r="L210" i="1"/>
  <c r="M209" i="1"/>
  <c r="AC232" i="1" l="1"/>
  <c r="AE232" i="1"/>
  <c r="AD232" i="1"/>
  <c r="AB231" i="1"/>
  <c r="AA231" i="1"/>
  <c r="N209" i="1"/>
  <c r="Q209" i="1" s="1"/>
  <c r="O209" i="1"/>
  <c r="P210" i="1"/>
  <c r="M210" i="1"/>
  <c r="L211" i="1"/>
  <c r="S234" i="1"/>
  <c r="V233" i="1"/>
  <c r="T233" i="1"/>
  <c r="U233" i="1" s="1"/>
  <c r="W232" i="1"/>
  <c r="AF232" i="1" s="1"/>
  <c r="AE233" i="1" l="1"/>
  <c r="AC233" i="1"/>
  <c r="AD233" i="1"/>
  <c r="AA232" i="1"/>
  <c r="AB232" i="1"/>
  <c r="L212" i="1"/>
  <c r="P211" i="1"/>
  <c r="M211" i="1"/>
  <c r="S235" i="1"/>
  <c r="V234" i="1"/>
  <c r="T234" i="1"/>
  <c r="U234" i="1" s="1"/>
  <c r="N210" i="1"/>
  <c r="Q210" i="1" s="1"/>
  <c r="O210" i="1"/>
  <c r="W233" i="1"/>
  <c r="AB233" i="1" l="1"/>
  <c r="AE234" i="1"/>
  <c r="AC234" i="1"/>
  <c r="AF233" i="1"/>
  <c r="AD234" i="1"/>
  <c r="AA233" i="1"/>
  <c r="W234" i="1"/>
  <c r="AF234" i="1" s="1"/>
  <c r="O211" i="1"/>
  <c r="N211" i="1"/>
  <c r="Q211" i="1" s="1"/>
  <c r="P212" i="1"/>
  <c r="M212" i="1"/>
  <c r="L213" i="1"/>
  <c r="S236" i="1"/>
  <c r="V235" i="1"/>
  <c r="T235" i="1"/>
  <c r="U235" i="1" s="1"/>
  <c r="AC235" i="1" l="1"/>
  <c r="AE235" i="1"/>
  <c r="AD235" i="1"/>
  <c r="AA234" i="1"/>
  <c r="AB234" i="1"/>
  <c r="P213" i="1"/>
  <c r="M213" i="1"/>
  <c r="L214" i="1"/>
  <c r="S237" i="1"/>
  <c r="V236" i="1"/>
  <c r="T236" i="1"/>
  <c r="U236" i="1" s="1"/>
  <c r="N212" i="1"/>
  <c r="Q212" i="1" s="1"/>
  <c r="O212" i="1"/>
  <c r="W235" i="1"/>
  <c r="AF235" i="1" s="1"/>
  <c r="AE236" i="1" l="1"/>
  <c r="AC236" i="1"/>
  <c r="AB235" i="1"/>
  <c r="AD236" i="1"/>
  <c r="AA235" i="1"/>
  <c r="P214" i="1"/>
  <c r="M214" i="1"/>
  <c r="L215" i="1"/>
  <c r="S238" i="1"/>
  <c r="V237" i="1"/>
  <c r="T237" i="1"/>
  <c r="U237" i="1" s="1"/>
  <c r="O213" i="1"/>
  <c r="N213" i="1"/>
  <c r="Q213" i="1" s="1"/>
  <c r="W236" i="1"/>
  <c r="AB236" i="1" l="1"/>
  <c r="AE237" i="1"/>
  <c r="AC237" i="1"/>
  <c r="AF236" i="1"/>
  <c r="AD237" i="1"/>
  <c r="AA236" i="1"/>
  <c r="P215" i="1"/>
  <c r="L216" i="1"/>
  <c r="M215" i="1"/>
  <c r="S239" i="1"/>
  <c r="V238" i="1"/>
  <c r="T238" i="1"/>
  <c r="U238" i="1" s="1"/>
  <c r="N214" i="1"/>
  <c r="Q214" i="1" s="1"/>
  <c r="O214" i="1"/>
  <c r="W237" i="1"/>
  <c r="AB237" i="1" l="1"/>
  <c r="AF237" i="1"/>
  <c r="AC238" i="1"/>
  <c r="AE238" i="1"/>
  <c r="AD238" i="1"/>
  <c r="AA237" i="1"/>
  <c r="O215" i="1"/>
  <c r="N215" i="1"/>
  <c r="Q215" i="1" s="1"/>
  <c r="S240" i="1"/>
  <c r="V239" i="1"/>
  <c r="T239" i="1"/>
  <c r="U239" i="1" s="1"/>
  <c r="L217" i="1"/>
  <c r="P216" i="1"/>
  <c r="M216" i="1"/>
  <c r="W238" i="1"/>
  <c r="AB238" i="1" l="1"/>
  <c r="AE239" i="1"/>
  <c r="AC239" i="1"/>
  <c r="AF238" i="1"/>
  <c r="AD239" i="1"/>
  <c r="AA238" i="1"/>
  <c r="S241" i="1"/>
  <c r="V240" i="1"/>
  <c r="T240" i="1"/>
  <c r="U240" i="1" s="1"/>
  <c r="W239" i="1"/>
  <c r="N216" i="1"/>
  <c r="Q216" i="1" s="1"/>
  <c r="O216" i="1"/>
  <c r="P217" i="1"/>
  <c r="M217" i="1"/>
  <c r="L218" i="1"/>
  <c r="AB239" i="1" l="1"/>
  <c r="AE240" i="1"/>
  <c r="AC240" i="1"/>
  <c r="AF239" i="1"/>
  <c r="AD240" i="1"/>
  <c r="AA239" i="1"/>
  <c r="P218" i="1"/>
  <c r="M218" i="1"/>
  <c r="L219" i="1"/>
  <c r="S242" i="1"/>
  <c r="V241" i="1"/>
  <c r="T241" i="1"/>
  <c r="U241" i="1" s="1"/>
  <c r="W240" i="1"/>
  <c r="N217" i="1"/>
  <c r="Q217" i="1" s="1"/>
  <c r="O217" i="1"/>
  <c r="AB240" i="1" l="1"/>
  <c r="AC241" i="1"/>
  <c r="AF240" i="1"/>
  <c r="AE241" i="1"/>
  <c r="AD241" i="1"/>
  <c r="AA240" i="1"/>
  <c r="P219" i="1"/>
  <c r="M219" i="1"/>
  <c r="L220" i="1"/>
  <c r="S243" i="1"/>
  <c r="V242" i="1"/>
  <c r="T242" i="1"/>
  <c r="U242" i="1" s="1"/>
  <c r="N218" i="1"/>
  <c r="Q218" i="1" s="1"/>
  <c r="O218" i="1"/>
  <c r="W241" i="1"/>
  <c r="AB241" i="1" l="1"/>
  <c r="AC242" i="1"/>
  <c r="AE242" i="1"/>
  <c r="AF241" i="1"/>
  <c r="AD242" i="1"/>
  <c r="AA241" i="1"/>
  <c r="L221" i="1"/>
  <c r="P220" i="1"/>
  <c r="M220" i="1"/>
  <c r="S244" i="1"/>
  <c r="V243" i="1"/>
  <c r="T243" i="1"/>
  <c r="U243" i="1" s="1"/>
  <c r="O219" i="1"/>
  <c r="N219" i="1"/>
  <c r="Q219" i="1" s="1"/>
  <c r="W242" i="1"/>
  <c r="AC243" i="1" l="1"/>
  <c r="AB242" i="1"/>
  <c r="AE243" i="1"/>
  <c r="AF242" i="1"/>
  <c r="AD243" i="1"/>
  <c r="AA242" i="1"/>
  <c r="W243" i="1"/>
  <c r="O220" i="1"/>
  <c r="N220" i="1"/>
  <c r="Q220" i="1" s="1"/>
  <c r="L222" i="1"/>
  <c r="M221" i="1"/>
  <c r="P221" i="1"/>
  <c r="S245" i="1"/>
  <c r="V244" i="1"/>
  <c r="T244" i="1"/>
  <c r="U244" i="1" s="1"/>
  <c r="AB243" i="1" l="1"/>
  <c r="AE244" i="1"/>
  <c r="AC244" i="1"/>
  <c r="AF243" i="1"/>
  <c r="AD244" i="1"/>
  <c r="AA243" i="1"/>
  <c r="W244" i="1"/>
  <c r="AF244" i="1" s="1"/>
  <c r="P222" i="1"/>
  <c r="M222" i="1"/>
  <c r="L223" i="1"/>
  <c r="S246" i="1"/>
  <c r="V245" i="1"/>
  <c r="T245" i="1"/>
  <c r="U245" i="1" s="1"/>
  <c r="N221" i="1"/>
  <c r="Q221" i="1" s="1"/>
  <c r="O221" i="1"/>
  <c r="AC245" i="1" l="1"/>
  <c r="AE245" i="1"/>
  <c r="AB244" i="1"/>
  <c r="AD245" i="1"/>
  <c r="AA244" i="1"/>
  <c r="P223" i="1"/>
  <c r="M223" i="1"/>
  <c r="L224" i="1"/>
  <c r="S247" i="1"/>
  <c r="V246" i="1"/>
  <c r="T246" i="1"/>
  <c r="U246" i="1" s="1"/>
  <c r="N222" i="1"/>
  <c r="Q222" i="1" s="1"/>
  <c r="O222" i="1"/>
  <c r="W245" i="1"/>
  <c r="AB245" i="1" l="1"/>
  <c r="AC246" i="1"/>
  <c r="AD246" i="1"/>
  <c r="AE246" i="1"/>
  <c r="AF245" i="1"/>
  <c r="AA245" i="1"/>
  <c r="M224" i="1"/>
  <c r="L225" i="1"/>
  <c r="P224" i="1"/>
  <c r="S248" i="1"/>
  <c r="V247" i="1"/>
  <c r="T247" i="1"/>
  <c r="U247" i="1" s="1"/>
  <c r="O223" i="1"/>
  <c r="N223" i="1"/>
  <c r="Q223" i="1" s="1"/>
  <c r="W246" i="1"/>
  <c r="AF246" i="1" s="1"/>
  <c r="AC247" i="1" l="1"/>
  <c r="AE247" i="1"/>
  <c r="AB246" i="1"/>
  <c r="AD247" i="1"/>
  <c r="AA246" i="1"/>
  <c r="O224" i="1"/>
  <c r="N224" i="1"/>
  <c r="Q224" i="1" s="1"/>
  <c r="S249" i="1"/>
  <c r="V248" i="1"/>
  <c r="T248" i="1"/>
  <c r="U248" i="1" s="1"/>
  <c r="L226" i="1"/>
  <c r="P225" i="1"/>
  <c r="M225" i="1"/>
  <c r="W247" i="1"/>
  <c r="AF247" i="1" s="1"/>
  <c r="AC248" i="1" l="1"/>
  <c r="AE248" i="1"/>
  <c r="AD248" i="1"/>
  <c r="AB247" i="1"/>
  <c r="AA247" i="1"/>
  <c r="O225" i="1"/>
  <c r="N225" i="1"/>
  <c r="Q225" i="1" s="1"/>
  <c r="S250" i="1"/>
  <c r="V249" i="1"/>
  <c r="T249" i="1"/>
  <c r="U249" i="1" s="1"/>
  <c r="W248" i="1"/>
  <c r="P226" i="1"/>
  <c r="L227" i="1"/>
  <c r="M226" i="1"/>
  <c r="AB248" i="1" l="1"/>
  <c r="AF248" i="1"/>
  <c r="AE249" i="1"/>
  <c r="AC249" i="1"/>
  <c r="AD249" i="1"/>
  <c r="AA248" i="1"/>
  <c r="P227" i="1"/>
  <c r="M227" i="1"/>
  <c r="N226" i="1"/>
  <c r="Q226" i="1" s="1"/>
  <c r="O226" i="1"/>
  <c r="S251" i="1"/>
  <c r="V250" i="1"/>
  <c r="T250" i="1"/>
  <c r="U250" i="1" s="1"/>
  <c r="W249" i="1"/>
  <c r="AB249" i="1" l="1"/>
  <c r="AF249" i="1"/>
  <c r="AE250" i="1"/>
  <c r="AC250" i="1"/>
  <c r="AD250" i="1"/>
  <c r="AA249" i="1"/>
  <c r="S252" i="1"/>
  <c r="V251" i="1"/>
  <c r="T251" i="1"/>
  <c r="U251" i="1" s="1"/>
  <c r="W250" i="1"/>
  <c r="O227" i="1"/>
  <c r="N227" i="1"/>
  <c r="Q227" i="1" s="1"/>
  <c r="AB250" i="1" l="1"/>
  <c r="AF250" i="1"/>
  <c r="AF251" i="1" s="1"/>
  <c r="AE251" i="1"/>
  <c r="AC251" i="1"/>
  <c r="AD251" i="1"/>
  <c r="AA250" i="1"/>
  <c r="S253" i="1"/>
  <c r="V252" i="1"/>
  <c r="T252" i="1"/>
  <c r="U252" i="1" s="1"/>
  <c r="W251" i="1"/>
  <c r="AB251" i="1" l="1"/>
  <c r="AE252" i="1"/>
  <c r="AF252" i="1"/>
  <c r="AC252" i="1"/>
  <c r="AD252" i="1"/>
  <c r="AA251" i="1"/>
  <c r="S254" i="1"/>
  <c r="V253" i="1"/>
  <c r="T253" i="1"/>
  <c r="U253" i="1" s="1"/>
  <c r="W252" i="1"/>
  <c r="AE253" i="1" l="1"/>
  <c r="AC253" i="1"/>
  <c r="AF253" i="1"/>
  <c r="AD253" i="1"/>
  <c r="AB252" i="1"/>
  <c r="AA252" i="1"/>
  <c r="S255" i="1"/>
  <c r="V254" i="1"/>
  <c r="T254" i="1"/>
  <c r="U254" i="1" s="1"/>
  <c r="W253" i="1"/>
  <c r="AC254" i="1" l="1"/>
  <c r="AE254" i="1"/>
  <c r="AF254" i="1"/>
  <c r="AD254" i="1"/>
  <c r="AB253" i="1"/>
  <c r="AA253" i="1"/>
  <c r="S256" i="1"/>
  <c r="V255" i="1"/>
  <c r="T255" i="1"/>
  <c r="U255" i="1" s="1"/>
  <c r="W254" i="1"/>
  <c r="AB254" i="1" l="1"/>
  <c r="AD255" i="1"/>
  <c r="AE255" i="1"/>
  <c r="AF255" i="1"/>
  <c r="AC255" i="1"/>
  <c r="AA254" i="1"/>
  <c r="S257" i="1"/>
  <c r="V256" i="1"/>
  <c r="T256" i="1"/>
  <c r="U256" i="1" s="1"/>
  <c r="W255" i="1"/>
  <c r="AE256" i="1" l="1"/>
  <c r="AF256" i="1"/>
  <c r="AC256" i="1"/>
  <c r="AD256" i="1"/>
  <c r="AB255" i="1"/>
  <c r="AA255" i="1"/>
  <c r="S258" i="1"/>
  <c r="V257" i="1"/>
  <c r="T257" i="1"/>
  <c r="U257" i="1" s="1"/>
  <c r="W256" i="1"/>
  <c r="AB256" i="1" l="1"/>
  <c r="AD257" i="1"/>
  <c r="AE257" i="1"/>
  <c r="AC257" i="1"/>
  <c r="AF257" i="1"/>
  <c r="AA256" i="1"/>
  <c r="S259" i="1"/>
  <c r="V258" i="1"/>
  <c r="T258" i="1"/>
  <c r="U258" i="1" s="1"/>
  <c r="W257" i="1"/>
  <c r="AE258" i="1" l="1"/>
  <c r="AC258" i="1"/>
  <c r="AF258" i="1"/>
  <c r="AD258" i="1"/>
  <c r="AB257" i="1"/>
  <c r="AA257" i="1"/>
  <c r="S260" i="1"/>
  <c r="V259" i="1"/>
  <c r="T259" i="1"/>
  <c r="U259" i="1" s="1"/>
  <c r="W258" i="1"/>
  <c r="AD259" i="1" l="1"/>
  <c r="AB258" i="1"/>
  <c r="AE259" i="1"/>
  <c r="AF259" i="1"/>
  <c r="AC259" i="1"/>
  <c r="AA258" i="1"/>
  <c r="S261" i="1"/>
  <c r="V260" i="1"/>
  <c r="T260" i="1"/>
  <c r="U260" i="1" s="1"/>
  <c r="W259" i="1"/>
  <c r="AE260" i="1" l="1"/>
  <c r="AF260" i="1"/>
  <c r="AC260" i="1"/>
  <c r="AD260" i="1"/>
  <c r="AB259" i="1"/>
  <c r="AA259" i="1"/>
  <c r="S262" i="1"/>
  <c r="V261" i="1"/>
  <c r="T261" i="1"/>
  <c r="U261" i="1" s="1"/>
  <c r="W260" i="1"/>
  <c r="AB260" i="1" l="1"/>
  <c r="AF261" i="1"/>
  <c r="AE261" i="1"/>
  <c r="AC261" i="1"/>
  <c r="AD261" i="1"/>
  <c r="AA260" i="1"/>
  <c r="S263" i="1"/>
  <c r="V262" i="1"/>
  <c r="T262" i="1"/>
  <c r="U262" i="1" s="1"/>
  <c r="W261" i="1"/>
  <c r="AF262" i="1" l="1"/>
  <c r="AE262" i="1"/>
  <c r="AC262" i="1"/>
  <c r="AD262" i="1"/>
  <c r="AB261" i="1"/>
  <c r="AA261" i="1"/>
  <c r="S264" i="1"/>
  <c r="V263" i="1"/>
  <c r="T263" i="1"/>
  <c r="U263" i="1" s="1"/>
  <c r="W262" i="1"/>
  <c r="AF263" i="1" l="1"/>
  <c r="AB262" i="1"/>
  <c r="AE263" i="1"/>
  <c r="AC263" i="1"/>
  <c r="AD263" i="1"/>
  <c r="AA262" i="1"/>
  <c r="S265" i="1"/>
  <c r="V264" i="1"/>
  <c r="T264" i="1"/>
  <c r="U264" i="1" s="1"/>
  <c r="W263" i="1"/>
  <c r="AF264" i="1" l="1"/>
  <c r="AC264" i="1"/>
  <c r="AE264" i="1"/>
  <c r="AD264" i="1"/>
  <c r="AB263" i="1"/>
  <c r="AA263" i="1"/>
  <c r="S266" i="1"/>
  <c r="V265" i="1"/>
  <c r="T265" i="1"/>
  <c r="U265" i="1" s="1"/>
  <c r="W264" i="1"/>
  <c r="AC265" i="1" l="1"/>
  <c r="AB264" i="1"/>
  <c r="AD265" i="1"/>
  <c r="AE265" i="1"/>
  <c r="AF265" i="1"/>
  <c r="AA264" i="1"/>
  <c r="S267" i="1"/>
  <c r="V266" i="1"/>
  <c r="T266" i="1"/>
  <c r="U266" i="1" s="1"/>
  <c r="W265" i="1"/>
  <c r="AC266" i="1" l="1"/>
  <c r="AE266" i="1"/>
  <c r="AF266" i="1"/>
  <c r="AD266" i="1"/>
  <c r="AB265" i="1"/>
  <c r="AA265" i="1"/>
  <c r="S268" i="1"/>
  <c r="V267" i="1"/>
  <c r="T267" i="1"/>
  <c r="U267" i="1" s="1"/>
  <c r="W266" i="1"/>
  <c r="AB266" i="1" l="1"/>
  <c r="AD267" i="1"/>
  <c r="AE267" i="1"/>
  <c r="AF267" i="1"/>
  <c r="AC267" i="1"/>
  <c r="AA266" i="1"/>
  <c r="S269" i="1"/>
  <c r="V268" i="1"/>
  <c r="T268" i="1"/>
  <c r="U268" i="1" s="1"/>
  <c r="W267" i="1"/>
  <c r="AF268" i="1" l="1"/>
  <c r="AB267" i="1"/>
  <c r="AD268" i="1"/>
  <c r="AE268" i="1"/>
  <c r="AC268" i="1"/>
  <c r="AA267" i="1"/>
  <c r="S270" i="1"/>
  <c r="V269" i="1"/>
  <c r="T269" i="1"/>
  <c r="U269" i="1" s="1"/>
  <c r="W268" i="1"/>
  <c r="AD269" i="1" l="1"/>
  <c r="AB268" i="1"/>
  <c r="AE269" i="1"/>
  <c r="AC269" i="1"/>
  <c r="AF269" i="1"/>
  <c r="AA268" i="1"/>
  <c r="V270" i="1"/>
  <c r="T270" i="1"/>
  <c r="U270" i="1" s="1"/>
  <c r="W269" i="1"/>
  <c r="AB269" i="1" l="1"/>
  <c r="AE270" i="1"/>
  <c r="AF270" i="1"/>
  <c r="AC270" i="1"/>
  <c r="AD270" i="1"/>
  <c r="AD271" i="1" s="1"/>
  <c r="AA269" i="1"/>
  <c r="W270" i="1"/>
  <c r="A6" i="1" l="1"/>
  <c r="AB270" i="1"/>
  <c r="AB271" i="1" s="1"/>
  <c r="AA270" i="1"/>
  <c r="B6" i="1" s="1"/>
</calcChain>
</file>

<file path=xl/sharedStrings.xml><?xml version="1.0" encoding="utf-8"?>
<sst xmlns="http://schemas.openxmlformats.org/spreadsheetml/2006/main" count="45" uniqueCount="32">
  <si>
    <t>Masthöhe</t>
  </si>
  <si>
    <t>Entfernung</t>
  </si>
  <si>
    <t>Höhenunterschied</t>
  </si>
  <si>
    <t>Leiterseilmasse</t>
  </si>
  <si>
    <t>pro m</t>
  </si>
  <si>
    <t>Gesamtmasse</t>
  </si>
  <si>
    <t>Horizontalzugkräfte</t>
  </si>
  <si>
    <t>Scheitellage</t>
  </si>
  <si>
    <t>Seilbogenlänge</t>
  </si>
  <si>
    <t>Funktion</t>
  </si>
  <si>
    <t xml:space="preserve"> Verbindungslinie</t>
  </si>
  <si>
    <t>x</t>
  </si>
  <si>
    <t>y</t>
  </si>
  <si>
    <t>Kettenlinie</t>
  </si>
  <si>
    <t>Durchhang des Punktes</t>
  </si>
  <si>
    <r>
      <rPr>
        <sz val="11"/>
        <color theme="1"/>
        <rFont val="Calibri"/>
        <family val="2"/>
      </rPr>
      <t>ε</t>
    </r>
    <r>
      <rPr>
        <sz val="8"/>
        <color theme="1"/>
        <rFont val="Calibri"/>
        <family val="2"/>
      </rPr>
      <t>t</t>
    </r>
  </si>
  <si>
    <t>Temerpatur</t>
  </si>
  <si>
    <t>Höhendifferenz</t>
  </si>
  <si>
    <t>Ergänzungslinie</t>
  </si>
  <si>
    <t>Durchhang</t>
  </si>
  <si>
    <t>y-Verbindungslinie</t>
  </si>
  <si>
    <t>y-Kettenlinie</t>
  </si>
  <si>
    <t>Bodenabstand</t>
  </si>
  <si>
    <t>größter Durchhang</t>
  </si>
  <si>
    <t>y-kettenlinie</t>
  </si>
  <si>
    <t>y-verb-linie</t>
  </si>
  <si>
    <t>durchhang</t>
  </si>
  <si>
    <t>Veränderlicher Parameter</t>
  </si>
  <si>
    <t>Durchhangsmaximum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</si>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</sst>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2" fontId="5" fillId="2" borderId="0" xfId="0" applyNumberFormat="1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2" fontId="0" fillId="2" borderId="0" xfId="0" applyNumberFormat="1" applyFill="1" applyProtection="1">
      <protection locked="0"/>
    </xf>
    <xf numFmtId="0" fontId="4" fillId="2" borderId="0" xfId="0" applyFont="1" applyFill="1" applyProtection="1">
      <protection locked="0"/>
    </xf>
    <xf numFmtId="164" fontId="0" fillId="2" borderId="0" xfId="0" applyNumberFormat="1" applyFill="1" applyProtection="1">
      <protection locked="0"/>
    </xf>
    <xf numFmtId="2" fontId="4" fillId="2" borderId="0" xfId="0" applyNumberFormat="1" applyFont="1" applyFill="1" applyProtection="1">
      <protection locked="0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</cellXfs>
  <cellStyles count="1">
    <cellStyle name="Standard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653105576337684E-2"/>
          <c:y val="1.8581620455095659E-2"/>
          <c:w val="0.81980933020345148"/>
          <c:h val="0.92705710446320244"/>
        </c:manualLayout>
      </c:layout>
      <c:scatterChart>
        <c:scatterStyle val="smoothMarker"/>
        <c:varyColors val="0"/>
        <c:ser>
          <c:idx val="0"/>
          <c:order val="0"/>
          <c:tx>
            <c:v>Mast1</c:v>
          </c:tx>
          <c:spPr>
            <a:ln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(Programm!$A$215,Programm!$A$215)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(Programm!$A$215,Programm!$A$210)</c:f>
              <c:numCache>
                <c:formatCode>General</c:formatCode>
                <c:ptCount val="2"/>
                <c:pt idx="0">
                  <c:v>0</c:v>
                </c:pt>
                <c:pt idx="1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FF-FB41-96CE-6BD5B1F66B3A}"/>
            </c:ext>
          </c:extLst>
        </c:ser>
        <c:ser>
          <c:idx val="1"/>
          <c:order val="1"/>
          <c:tx>
            <c:v>Mast2</c:v>
          </c:tx>
          <c:spPr>
            <a:ln>
              <a:solidFill>
                <a:schemeClr val="tx1"/>
              </a:solidFill>
              <a:tailEnd type="triangle"/>
            </a:ln>
          </c:spPr>
          <c:marker>
            <c:symbol val="none"/>
          </c:marker>
          <c:xVal>
            <c:numRef>
              <c:f>(Programm!$C$210,Programm!$C$210)</c:f>
              <c:numCache>
                <c:formatCode>General</c:formatCode>
                <c:ptCount val="2"/>
                <c:pt idx="0">
                  <c:v>295</c:v>
                </c:pt>
                <c:pt idx="1">
                  <c:v>295</c:v>
                </c:pt>
              </c:numCache>
            </c:numRef>
          </c:xVal>
          <c:yVal>
            <c:numRef>
              <c:f>(Programm!$A$215,Programm!$E$212)</c:f>
              <c:numCache>
                <c:formatCode>General</c:formatCode>
                <c:ptCount val="2"/>
                <c:pt idx="0">
                  <c:v>0</c:v>
                </c:pt>
                <c:pt idx="1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FF-FB41-96CE-6BD5B1F66B3A}"/>
            </c:ext>
          </c:extLst>
        </c:ser>
        <c:ser>
          <c:idx val="2"/>
          <c:order val="2"/>
          <c:tx>
            <c:v>Verbindungslinie</c:v>
          </c:tx>
          <c:spPr>
            <a:ln w="22225">
              <a:prstDash val="solid"/>
            </a:ln>
          </c:spPr>
          <c:marker>
            <c:symbol val="none"/>
          </c:marker>
          <c:xVal>
            <c:numRef>
              <c:f>(Programm!$A$215,Programm!$C$210)</c:f>
              <c:numCache>
                <c:formatCode>General</c:formatCode>
                <c:ptCount val="2"/>
                <c:pt idx="0">
                  <c:v>0</c:v>
                </c:pt>
                <c:pt idx="1">
                  <c:v>295</c:v>
                </c:pt>
              </c:numCache>
            </c:numRef>
          </c:xVal>
          <c:yVal>
            <c:numRef>
              <c:f>(Programm!$A$210,Programm!$E$212)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FF-FB41-96CE-6BD5B1F66B3A}"/>
            </c:ext>
          </c:extLst>
        </c:ser>
        <c:ser>
          <c:idx val="4"/>
          <c:order val="3"/>
          <c:tx>
            <c:v>Kettenlinie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Programm!$M$207:$M$227</c:f>
              <c:numCache>
                <c:formatCode>0.00</c:formatCode>
                <c:ptCount val="21"/>
                <c:pt idx="0">
                  <c:v>0</c:v>
                </c:pt>
                <c:pt idx="1">
                  <c:v>14.75</c:v>
                </c:pt>
                <c:pt idx="2">
                  <c:v>29.5</c:v>
                </c:pt>
                <c:pt idx="3">
                  <c:v>44.25</c:v>
                </c:pt>
                <c:pt idx="4">
                  <c:v>59</c:v>
                </c:pt>
                <c:pt idx="5">
                  <c:v>73.75</c:v>
                </c:pt>
                <c:pt idx="6">
                  <c:v>88.5</c:v>
                </c:pt>
                <c:pt idx="7">
                  <c:v>103.25</c:v>
                </c:pt>
                <c:pt idx="8">
                  <c:v>118</c:v>
                </c:pt>
                <c:pt idx="9">
                  <c:v>132.75</c:v>
                </c:pt>
                <c:pt idx="10">
                  <c:v>147.5</c:v>
                </c:pt>
                <c:pt idx="11">
                  <c:v>162.25</c:v>
                </c:pt>
                <c:pt idx="12">
                  <c:v>177</c:v>
                </c:pt>
                <c:pt idx="13">
                  <c:v>191.75</c:v>
                </c:pt>
                <c:pt idx="14">
                  <c:v>206.5</c:v>
                </c:pt>
                <c:pt idx="15">
                  <c:v>221.25</c:v>
                </c:pt>
                <c:pt idx="16">
                  <c:v>236</c:v>
                </c:pt>
                <c:pt idx="17">
                  <c:v>250.75</c:v>
                </c:pt>
                <c:pt idx="18">
                  <c:v>265.5</c:v>
                </c:pt>
                <c:pt idx="19">
                  <c:v>280.25</c:v>
                </c:pt>
                <c:pt idx="20">
                  <c:v>295</c:v>
                </c:pt>
              </c:numCache>
            </c:numRef>
          </c:xVal>
          <c:yVal>
            <c:numRef>
              <c:f>Programm!$Q$207:$Q$227</c:f>
              <c:numCache>
                <c:formatCode>0.00</c:formatCode>
                <c:ptCount val="21"/>
                <c:pt idx="0">
                  <c:v>27</c:v>
                </c:pt>
                <c:pt idx="1">
                  <c:v>25.144489558618659</c:v>
                </c:pt>
                <c:pt idx="2">
                  <c:v>23.485167654546739</c:v>
                </c:pt>
                <c:pt idx="3">
                  <c:v>22.021744842803741</c:v>
                </c:pt>
                <c:pt idx="4">
                  <c:v>20.753965850204903</c:v>
                </c:pt>
                <c:pt idx="5">
                  <c:v>19.681609530832539</c:v>
                </c:pt>
                <c:pt idx="6">
                  <c:v>18.804488827458961</c:v>
                </c:pt>
                <c:pt idx="7">
                  <c:v>18.12245073891966</c:v>
                </c:pt>
                <c:pt idx="8">
                  <c:v>17.635376293422151</c:v>
                </c:pt>
                <c:pt idx="9">
                  <c:v>17.343180527793244</c:v>
                </c:pt>
                <c:pt idx="10">
                  <c:v>17.245812472660187</c:v>
                </c:pt>
                <c:pt idx="11">
                  <c:v>17.343255143557379</c:v>
                </c:pt>
                <c:pt idx="12">
                  <c:v>17.635525537965933</c:v>
                </c:pt>
                <c:pt idx="13">
                  <c:v>18.122674638277331</c:v>
                </c:pt>
                <c:pt idx="14">
                  <c:v>18.804787420686232</c:v>
                </c:pt>
                <c:pt idx="15">
                  <c:v>19.681982870014505</c:v>
                </c:pt>
                <c:pt idx="16">
                  <c:v>20.754414000465488</c:v>
                </c:pt>
                <c:pt idx="17">
                  <c:v>22.022267882316353</c:v>
                </c:pt>
                <c:pt idx="18">
                  <c:v>23.485765674548151</c:v>
                </c:pt>
                <c:pt idx="19">
                  <c:v>25.145162663424642</c:v>
                </c:pt>
                <c:pt idx="20">
                  <c:v>27.000748307024161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FF-FB41-96CE-6BD5B1F66B3A}"/>
            </c:ext>
          </c:extLst>
        </c:ser>
        <c:ser>
          <c:idx val="3"/>
          <c:order val="4"/>
          <c:tx>
            <c:v>Ergänzungsmast</c:v>
          </c:tx>
          <c:spPr>
            <a:ln w="19050">
              <a:solidFill>
                <a:srgbClr val="F79646">
                  <a:lumMod val="75000"/>
                  <a:alpha val="60000"/>
                </a:srgbClr>
              </a:solidFill>
              <a:prstDash val="sysDash"/>
              <a:tailEnd type="triangle"/>
            </a:ln>
          </c:spPr>
          <c:marker>
            <c:symbol val="none"/>
          </c:marker>
          <c:xVal>
            <c:numRef>
              <c:f>(Programm!$M$230,Programm!$M$230)</c:f>
              <c:numCache>
                <c:formatCode>0.00</c:formatCode>
                <c:ptCount val="2"/>
                <c:pt idx="0">
                  <c:v>-5.6494144212706487E-3</c:v>
                </c:pt>
                <c:pt idx="1">
                  <c:v>-5.6494144212706487E-3</c:v>
                </c:pt>
              </c:numCache>
            </c:numRef>
          </c:xVal>
          <c:yVal>
            <c:numRef>
              <c:f>(Programm!$A$215,Programm!$N$230)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FF-FB41-96CE-6BD5B1F66B3A}"/>
            </c:ext>
          </c:extLst>
        </c:ser>
        <c:ser>
          <c:idx val="5"/>
          <c:order val="5"/>
          <c:tx>
            <c:v>Ergänzungskettenlinie</c:v>
          </c:tx>
          <c:spPr>
            <a:ln w="19050">
              <a:solidFill>
                <a:srgbClr val="F79646">
                  <a:alpha val="60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Programm!$M$230:$M$270</c:f>
              <c:numCache>
                <c:formatCode>0.00</c:formatCode>
                <c:ptCount val="41"/>
                <c:pt idx="0">
                  <c:v>-5.6494144212706487E-3</c:v>
                </c:pt>
                <c:pt idx="1">
                  <c:v>7.3694918209392597</c:v>
                </c:pt>
                <c:pt idx="2">
                  <c:v>14.74463305629979</c:v>
                </c:pt>
                <c:pt idx="3">
                  <c:v>22.11977429166032</c:v>
                </c:pt>
                <c:pt idx="4">
                  <c:v>29.494915527020851</c:v>
                </c:pt>
                <c:pt idx="5">
                  <c:v>36.870056762381381</c:v>
                </c:pt>
                <c:pt idx="6">
                  <c:v>44.245197997741911</c:v>
                </c:pt>
                <c:pt idx="7">
                  <c:v>51.620339233102442</c:v>
                </c:pt>
                <c:pt idx="8">
                  <c:v>58.995480468462986</c:v>
                </c:pt>
                <c:pt idx="9">
                  <c:v>66.370621703823517</c:v>
                </c:pt>
                <c:pt idx="10">
                  <c:v>73.745762939184047</c:v>
                </c:pt>
                <c:pt idx="11">
                  <c:v>81.120904174544592</c:v>
                </c:pt>
                <c:pt idx="12">
                  <c:v>88.496045409905108</c:v>
                </c:pt>
                <c:pt idx="13">
                  <c:v>95.871186645265652</c:v>
                </c:pt>
                <c:pt idx="14">
                  <c:v>103.24632788062617</c:v>
                </c:pt>
                <c:pt idx="15">
                  <c:v>110.62146911598671</c:v>
                </c:pt>
                <c:pt idx="16">
                  <c:v>117.99661035134724</c:v>
                </c:pt>
                <c:pt idx="17">
                  <c:v>125.37175158670776</c:v>
                </c:pt>
                <c:pt idx="18">
                  <c:v>132.7468928220683</c:v>
                </c:pt>
                <c:pt idx="19">
                  <c:v>140.12203405742883</c:v>
                </c:pt>
                <c:pt idx="20">
                  <c:v>147.49717529278936</c:v>
                </c:pt>
                <c:pt idx="21">
                  <c:v>154.8723165281499</c:v>
                </c:pt>
                <c:pt idx="22">
                  <c:v>162.24745776351045</c:v>
                </c:pt>
                <c:pt idx="23">
                  <c:v>169.62259899887096</c:v>
                </c:pt>
                <c:pt idx="24">
                  <c:v>176.99774023423149</c:v>
                </c:pt>
                <c:pt idx="25">
                  <c:v>184.37288146959202</c:v>
                </c:pt>
                <c:pt idx="26">
                  <c:v>191.74802270495258</c:v>
                </c:pt>
                <c:pt idx="27">
                  <c:v>199.12316394031311</c:v>
                </c:pt>
                <c:pt idx="28">
                  <c:v>206.49830517567361</c:v>
                </c:pt>
                <c:pt idx="29">
                  <c:v>213.87344641103414</c:v>
                </c:pt>
                <c:pt idx="30">
                  <c:v>221.2485876463947</c:v>
                </c:pt>
                <c:pt idx="31">
                  <c:v>228.62372888175523</c:v>
                </c:pt>
                <c:pt idx="32">
                  <c:v>235.99887011711576</c:v>
                </c:pt>
                <c:pt idx="33">
                  <c:v>243.37401135247626</c:v>
                </c:pt>
                <c:pt idx="34">
                  <c:v>250.74915258783679</c:v>
                </c:pt>
                <c:pt idx="35">
                  <c:v>258.12429382319732</c:v>
                </c:pt>
                <c:pt idx="36">
                  <c:v>265.49943505855788</c:v>
                </c:pt>
                <c:pt idx="37">
                  <c:v>272.87457629391844</c:v>
                </c:pt>
                <c:pt idx="38">
                  <c:v>280.24971752927894</c:v>
                </c:pt>
                <c:pt idx="39">
                  <c:v>287.62485876463944</c:v>
                </c:pt>
                <c:pt idx="40">
                  <c:v>295</c:v>
                </c:pt>
              </c:numCache>
            </c:numRef>
          </c:xVal>
          <c:yVal>
            <c:numRef>
              <c:f>Programm!$Q$230:$Q$270</c:f>
              <c:numCache>
                <c:formatCode>0.00</c:formatCode>
                <c:ptCount val="41"/>
                <c:pt idx="0">
                  <c:v>27.000723072871011</c:v>
                </c:pt>
                <c:pt idx="1">
                  <c:v>26.080475840573559</c:v>
                </c:pt>
                <c:pt idx="2">
                  <c:v>25.207645756619748</c:v>
                </c:pt>
                <c:pt idx="3">
                  <c:v>24.382197267070591</c:v>
                </c:pt>
                <c:pt idx="4">
                  <c:v>23.604096748033545</c:v>
                </c:pt>
                <c:pt idx="5">
                  <c:v>22.873312504292109</c:v>
                </c:pt>
                <c:pt idx="6">
                  <c:v>22.189814768015172</c:v>
                </c:pt>
                <c:pt idx="7">
                  <c:v>21.553575697544659</c:v>
                </c:pt>
                <c:pt idx="8">
                  <c:v>20.964569376261434</c:v>
                </c:pt>
                <c:pt idx="9">
                  <c:v>20.422771811528911</c:v>
                </c:pt>
                <c:pt idx="10">
                  <c:v>19.928160933716502</c:v>
                </c:pt>
                <c:pt idx="11">
                  <c:v>19.480716595300041</c:v>
                </c:pt>
                <c:pt idx="12">
                  <c:v>19.080420570042229</c:v>
                </c:pt>
                <c:pt idx="13">
                  <c:v>18.727256552248289</c:v>
                </c:pt>
                <c:pt idx="14">
                  <c:v>18.421210156103967</c:v>
                </c:pt>
                <c:pt idx="15">
                  <c:v>18.162268915087459</c:v>
                </c:pt>
                <c:pt idx="16">
                  <c:v>17.950422281463396</c:v>
                </c:pt>
                <c:pt idx="17">
                  <c:v>17.785661625851802</c:v>
                </c:pt>
                <c:pt idx="18">
                  <c:v>17.667980236877067</c:v>
                </c:pt>
                <c:pt idx="19">
                  <c:v>17.597373320895475</c:v>
                </c:pt>
                <c:pt idx="20">
                  <c:v>17.573838001798123</c:v>
                </c:pt>
                <c:pt idx="21">
                  <c:v>17.597373320895475</c:v>
                </c:pt>
                <c:pt idx="22">
                  <c:v>17.667980236877067</c:v>
                </c:pt>
                <c:pt idx="23">
                  <c:v>17.785661625851802</c:v>
                </c:pt>
                <c:pt idx="24">
                  <c:v>17.950422281463396</c:v>
                </c:pt>
                <c:pt idx="25">
                  <c:v>18.162268915087459</c:v>
                </c:pt>
                <c:pt idx="26">
                  <c:v>18.421210156103967</c:v>
                </c:pt>
                <c:pt idx="27">
                  <c:v>18.727256552248289</c:v>
                </c:pt>
                <c:pt idx="28">
                  <c:v>19.080420570042229</c:v>
                </c:pt>
                <c:pt idx="29">
                  <c:v>19.480716595300041</c:v>
                </c:pt>
                <c:pt idx="30">
                  <c:v>19.928160933716502</c:v>
                </c:pt>
                <c:pt idx="31">
                  <c:v>20.422771811528911</c:v>
                </c:pt>
                <c:pt idx="32">
                  <c:v>20.964569376261434</c:v>
                </c:pt>
                <c:pt idx="33">
                  <c:v>21.553575697544659</c:v>
                </c:pt>
                <c:pt idx="34">
                  <c:v>22.189814768015172</c:v>
                </c:pt>
                <c:pt idx="35">
                  <c:v>22.873312504292109</c:v>
                </c:pt>
                <c:pt idx="36">
                  <c:v>23.604096748033545</c:v>
                </c:pt>
                <c:pt idx="37">
                  <c:v>24.382197267070591</c:v>
                </c:pt>
                <c:pt idx="38">
                  <c:v>25.207645756619748</c:v>
                </c:pt>
                <c:pt idx="39">
                  <c:v>26.080475840573303</c:v>
                </c:pt>
                <c:pt idx="40">
                  <c:v>27.000723072871011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4FF-FB41-96CE-6BD5B1F66B3A}"/>
            </c:ext>
          </c:extLst>
        </c:ser>
        <c:ser>
          <c:idx val="6"/>
          <c:order val="6"/>
          <c:tx>
            <c:v>Bodenabstand</c:v>
          </c:tx>
          <c:spPr>
            <a:ln>
              <a:solidFill>
                <a:srgbClr val="7030A0"/>
              </a:solidFill>
              <a:prstDash val="sysDash"/>
              <a:headEnd type="triangle"/>
              <a:tailEnd type="triangle"/>
            </a:ln>
          </c:spPr>
          <c:marker>
            <c:symbol val="none"/>
          </c:marker>
          <c:xVal>
            <c:numRef>
              <c:f>Programm!$AB$270:$AB$271</c:f>
              <c:numCache>
                <c:formatCode>General</c:formatCode>
                <c:ptCount val="2"/>
                <c:pt idx="0">
                  <c:v>147.5</c:v>
                </c:pt>
                <c:pt idx="1">
                  <c:v>147.5</c:v>
                </c:pt>
              </c:numCache>
            </c:numRef>
          </c:xVal>
          <c:yVal>
            <c:numRef>
              <c:f>Programm!$AA$270:$AA$271</c:f>
              <c:numCache>
                <c:formatCode>General</c:formatCode>
                <c:ptCount val="2"/>
                <c:pt idx="0">
                  <c:v>17.245812472660187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4FF-FB41-96CE-6BD5B1F66B3A}"/>
            </c:ext>
          </c:extLst>
        </c:ser>
        <c:ser>
          <c:idx val="7"/>
          <c:order val="7"/>
          <c:tx>
            <c:v>Durchhangsmaximum</c:v>
          </c:tx>
          <c:spPr>
            <a:ln>
              <a:prstDash val="sysDash"/>
              <a:headEnd type="triangle"/>
              <a:tailEnd type="triangle"/>
            </a:ln>
          </c:spPr>
          <c:marker>
            <c:symbol val="none"/>
          </c:marker>
          <c:xVal>
            <c:numRef>
              <c:f>Programm!$AD$270:$AD$271</c:f>
              <c:numCache>
                <c:formatCode>General</c:formatCode>
                <c:ptCount val="2"/>
                <c:pt idx="0">
                  <c:v>147.5</c:v>
                </c:pt>
                <c:pt idx="1">
                  <c:v>147.5</c:v>
                </c:pt>
              </c:numCache>
            </c:numRef>
          </c:xVal>
          <c:yVal>
            <c:numRef>
              <c:f>(Programm!$AE$270,Programm!$AF$270)</c:f>
              <c:numCache>
                <c:formatCode>General</c:formatCode>
                <c:ptCount val="2"/>
                <c:pt idx="0">
                  <c:v>27</c:v>
                </c:pt>
                <c:pt idx="1">
                  <c:v>17.245812472660187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4FF-FB41-96CE-6BD5B1F6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06688"/>
        <c:axId val="65508864"/>
      </c:scatterChart>
      <c:valAx>
        <c:axId val="65506688"/>
        <c:scaling>
          <c:orientation val="minMax"/>
          <c:max val="35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Entferung</a:t>
                </a:r>
                <a:r>
                  <a:rPr lang="de-DE" baseline="0"/>
                  <a:t> von Mast1 in m</a:t>
                </a:r>
              </a:p>
            </c:rich>
          </c:tx>
          <c:layout>
            <c:manualLayout>
              <c:xMode val="edge"/>
              <c:yMode val="edge"/>
              <c:x val="0.85086336053350142"/>
              <c:y val="0.956142199302579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5508864"/>
        <c:crosses val="autoZero"/>
        <c:crossBetween val="midCat"/>
        <c:minorUnit val="5"/>
      </c:valAx>
      <c:valAx>
        <c:axId val="65508864"/>
        <c:scaling>
          <c:orientation val="minMax"/>
          <c:max val="54"/>
          <c:min val="0"/>
        </c:scaling>
        <c:delete val="0"/>
        <c:axPos val="l"/>
        <c:majorGridlines>
          <c:spPr>
            <a:ln>
              <a:solidFill>
                <a:schemeClr val="tx1">
                  <a:alpha val="16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Höhe in m</a:t>
                </a:r>
              </a:p>
            </c:rich>
          </c:tx>
          <c:layout>
            <c:manualLayout>
              <c:xMode val="edge"/>
              <c:yMode val="edge"/>
              <c:x val="0.21789596000821471"/>
              <c:y val="2.587170614150744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5506688"/>
        <c:crosses val="autoZero"/>
        <c:crossBetween val="midCat"/>
        <c:majorUnit val="2"/>
        <c:minorUnit val="0.5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$A$211" horiz="1" max="3" min="1" page="10" val="3"/>
</file>

<file path=xl/ctrlProps/ctrlProp2.xml><?xml version="1.0" encoding="utf-8"?>
<formControlPr xmlns="http://schemas.microsoft.com/office/spreadsheetml/2009/9/main" objectType="Scroll" dx="16" fmlaLink="$C$210" horiz="1" max="450" min="250" page="10" val="295"/>
</file>

<file path=xl/ctrlProps/ctrlProp3.xml><?xml version="1.0" encoding="utf-8"?>
<formControlPr xmlns="http://schemas.microsoft.com/office/spreadsheetml/2009/9/main" objectType="Scroll" dx="16" fmlaLink="$D$211" horiz="1" max="25" page="10" val="0"/>
</file>

<file path=xl/ctrlProps/ctrlProp4.xml><?xml version="1.0" encoding="utf-8"?>
<formControlPr xmlns="http://schemas.microsoft.com/office/spreadsheetml/2009/9/main" objectType="Scroll" dx="16" fmlaLink="$A$218" horiz="1" inc="5" max="200" page="10" val="30"/>
</file>

<file path=xl/ctrlProps/ctrlProp5.xml><?xml version="1.0" encoding="utf-8"?>
<formControlPr xmlns="http://schemas.microsoft.com/office/spreadsheetml/2009/9/main" objectType="Scroll" dx="16" fmlaLink="$E$211" horiz="1" max="2" min="1" page="10"/>
</file>

<file path=xl/ctrlProps/ctrlProp6.xml><?xml version="1.0" encoding="utf-8"?>
<formControlPr xmlns="http://schemas.microsoft.com/office/spreadsheetml/2009/9/main" objectType="Scroll" dx="16" fmlaLink="$A$221" horiz="1" max="2" min="1" page="10" val="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90713</xdr:rowOff>
    </xdr:from>
    <xdr:to>
      <xdr:col>9</xdr:col>
      <xdr:colOff>785090</xdr:colOff>
      <xdr:row>48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</xdr:row>
          <xdr:rowOff>0</xdr:rowOff>
        </xdr:from>
        <xdr:to>
          <xdr:col>1</xdr:col>
          <xdr:colOff>1130300</xdr:colOff>
          <xdr:row>2</xdr:row>
          <xdr:rowOff>12700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</xdr:row>
          <xdr:rowOff>12700</xdr:rowOff>
        </xdr:from>
        <xdr:to>
          <xdr:col>2</xdr:col>
          <xdr:colOff>850900</xdr:colOff>
          <xdr:row>2</xdr:row>
          <xdr:rowOff>25400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0</xdr:row>
          <xdr:rowOff>177800</xdr:rowOff>
        </xdr:from>
        <xdr:to>
          <xdr:col>4</xdr:col>
          <xdr:colOff>1574800</xdr:colOff>
          <xdr:row>1</xdr:row>
          <xdr:rowOff>177800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</xdr:row>
          <xdr:rowOff>0</xdr:rowOff>
        </xdr:from>
        <xdr:to>
          <xdr:col>6</xdr:col>
          <xdr:colOff>1206500</xdr:colOff>
          <xdr:row>2</xdr:row>
          <xdr:rowOff>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</xdr:row>
          <xdr:rowOff>0</xdr:rowOff>
        </xdr:from>
        <xdr:to>
          <xdr:col>7</xdr:col>
          <xdr:colOff>1676400</xdr:colOff>
          <xdr:row>2</xdr:row>
          <xdr:rowOff>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0</xdr:rowOff>
        </xdr:from>
        <xdr:to>
          <xdr:col>0</xdr:col>
          <xdr:colOff>1892300</xdr:colOff>
          <xdr:row>2</xdr:row>
          <xdr:rowOff>12700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173321</xdr:colOff>
      <xdr:row>1</xdr:row>
      <xdr:rowOff>9526</xdr:rowOff>
    </xdr:from>
    <xdr:to>
      <xdr:col>17</xdr:col>
      <xdr:colOff>769905</xdr:colOff>
      <xdr:row>16</xdr:row>
      <xdr:rowOff>80818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6175321" y="200026"/>
          <a:ext cx="4812984" cy="2928792"/>
        </a:xfrm>
        <a:prstGeom prst="rect">
          <a:avLst/>
        </a:prstGeom>
      </xdr:spPr>
    </xdr:pic>
    <xdr:clientData/>
  </xdr:twoCellAnchor>
  <xdr:twoCellAnchor editAs="oneCell">
    <xdr:from>
      <xdr:col>13</xdr:col>
      <xdr:colOff>838849</xdr:colOff>
      <xdr:row>31</xdr:row>
      <xdr:rowOff>118341</xdr:rowOff>
    </xdr:from>
    <xdr:to>
      <xdr:col>16</xdr:col>
      <xdr:colOff>157943</xdr:colOff>
      <xdr:row>38</xdr:row>
      <xdr:rowOff>169141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8449" y="6023841"/>
          <a:ext cx="1859093" cy="1384300"/>
        </a:xfrm>
        <a:prstGeom prst="rect">
          <a:avLst/>
        </a:prstGeom>
      </xdr:spPr>
    </xdr:pic>
    <xdr:clientData/>
  </xdr:twoCellAnchor>
  <xdr:twoCellAnchor>
    <xdr:from>
      <xdr:col>10</xdr:col>
      <xdr:colOff>842820</xdr:colOff>
      <xdr:row>19</xdr:row>
      <xdr:rowOff>114300</xdr:rowOff>
    </xdr:from>
    <xdr:to>
      <xdr:col>19</xdr:col>
      <xdr:colOff>29534</xdr:colOff>
      <xdr:row>27</xdr:row>
      <xdr:rowOff>78190</xdr:rowOff>
    </xdr:to>
    <xdr:sp macro="" textlink="">
      <xdr:nvSpPr>
        <xdr:cNvPr id="12" name="Textplatzhalter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/>
        </xdr:cNvSpPr>
      </xdr:nvSpPr>
      <xdr:spPr>
        <a:xfrm>
          <a:off x="14101620" y="3733800"/>
          <a:ext cx="703531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11</xdr:col>
      <xdr:colOff>773397</xdr:colOff>
      <xdr:row>14</xdr:row>
      <xdr:rowOff>83705</xdr:rowOff>
    </xdr:from>
    <xdr:to>
      <xdr:col>17</xdr:col>
      <xdr:colOff>828166</xdr:colOff>
      <xdr:row>14</xdr:row>
      <xdr:rowOff>83705</xdr:rowOff>
    </xdr:to>
    <xdr:cxnSp macro="">
      <xdr:nvCxnSpPr>
        <xdr:cNvPr id="13" name="Gerader Verbinder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4870397" y="2750705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45</xdr:row>
      <xdr:rowOff>52916</xdr:rowOff>
    </xdr:from>
    <xdr:ext cx="1047750" cy="349449"/>
    <xdr:pic>
      <xdr:nvPicPr>
        <xdr:cNvPr id="14" name="Grafik 13" descr="imag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109469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10259" y="228566"/>
          <a:ext cx="5384793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180797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262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253929</xdr:colOff>
      <xdr:row>45</xdr:row>
      <xdr:rowOff>7568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838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F271"/>
  <sheetViews>
    <sheetView tabSelected="1" zoomScale="110" zoomScaleNormal="110" workbookViewId="0">
      <selection activeCell="L1" sqref="L1:S194"/>
    </sheetView>
  </sheetViews>
  <sheetFormatPr baseColWidth="10" defaultRowHeight="15" x14ac:dyDescent="0.2"/>
  <cols>
    <col min="1" max="1" width="27.5" style="3" bestFit="1" customWidth="1"/>
    <col min="2" max="2" width="18.5" style="3" bestFit="1" customWidth="1"/>
    <col min="3" max="3" width="12.33203125" style="3" bestFit="1" customWidth="1"/>
    <col min="4" max="4" width="13.33203125" style="3" customWidth="1"/>
    <col min="5" max="5" width="22.1640625" style="3" bestFit="1" customWidth="1"/>
    <col min="6" max="6" width="14.83203125" style="3" customWidth="1"/>
    <col min="7" max="7" width="17" style="3" bestFit="1" customWidth="1"/>
    <col min="8" max="8" width="22.1640625" style="3" bestFit="1" customWidth="1"/>
    <col min="9" max="9" width="21.1640625" style="3" bestFit="1" customWidth="1"/>
    <col min="10" max="10" width="12.1640625" style="3" customWidth="1"/>
    <col min="11" max="11" width="7.5" style="3" hidden="1" customWidth="1"/>
    <col min="12" max="13" width="11" style="3" customWidth="1"/>
    <col min="14" max="14" width="11.5" style="3" bestFit="1" customWidth="1"/>
    <col min="15" max="15" width="10.83203125" style="3" customWidth="1"/>
    <col min="16" max="17" width="11" style="3" customWidth="1"/>
    <col min="18" max="18" width="10.83203125" style="3" customWidth="1"/>
    <col min="19" max="19" width="11" style="3" customWidth="1"/>
    <col min="20" max="22" width="11.5" style="3" bestFit="1" customWidth="1"/>
    <col min="23" max="23" width="13" style="3" bestFit="1" customWidth="1"/>
    <col min="24" max="24" width="10.83203125" style="3"/>
    <col min="25" max="25" width="11.5" style="3" bestFit="1" customWidth="1"/>
    <col min="26" max="31" width="10.83203125" style="3"/>
    <col min="32" max="32" width="13.6640625" style="3" bestFit="1" customWidth="1"/>
    <col min="33" max="16384" width="10.83203125" style="3"/>
  </cols>
  <sheetData>
    <row r="1" spans="1:19" x14ac:dyDescent="0.2">
      <c r="A1" s="2" t="s">
        <v>27</v>
      </c>
      <c r="B1" s="2" t="s">
        <v>0</v>
      </c>
      <c r="C1" s="2" t="s">
        <v>1</v>
      </c>
      <c r="D1" s="4"/>
      <c r="E1" s="2" t="str">
        <f>IF(A221=1,"Höhendifferenz","")</f>
        <v/>
      </c>
      <c r="F1" s="2"/>
      <c r="G1" s="2" t="str">
        <f>IF(A221=2,"Temperatur","")</f>
        <v>Temperatur</v>
      </c>
      <c r="H1" s="2" t="str">
        <f>IF(A221=2,"Leitermaterial","")</f>
        <v>Leitermaterial</v>
      </c>
      <c r="L1" s="8"/>
      <c r="M1" s="8"/>
      <c r="N1" s="8"/>
      <c r="O1" s="8"/>
      <c r="P1" s="8"/>
      <c r="Q1" s="8"/>
      <c r="R1" s="8"/>
      <c r="S1" s="9"/>
    </row>
    <row r="2" spans="1:19" x14ac:dyDescent="0.2">
      <c r="A2" s="1"/>
      <c r="B2" s="1"/>
      <c r="C2" s="1"/>
      <c r="D2" s="5"/>
      <c r="E2" s="1"/>
      <c r="F2" s="1"/>
      <c r="G2" s="1"/>
      <c r="H2" s="1"/>
      <c r="L2" s="8"/>
      <c r="M2" s="8"/>
      <c r="N2" s="8"/>
      <c r="O2" s="8"/>
      <c r="P2" s="8"/>
      <c r="Q2" s="8"/>
      <c r="R2" s="8"/>
      <c r="S2" s="9"/>
    </row>
    <row r="3" spans="1:19" x14ac:dyDescent="0.2">
      <c r="A3" s="2" t="str">
        <f>IF(A221=1,"Höhendifferenz","Temperatur")</f>
        <v>Temperatur</v>
      </c>
      <c r="B3" s="2" t="str">
        <f>IF(A211=1,"110-kV-Mast",IF(A211=2,"220-kV-Mast","380-kV-Mast"))</f>
        <v>380-kV-Mast</v>
      </c>
      <c r="C3" s="2">
        <f>C210</f>
        <v>295</v>
      </c>
      <c r="D3" s="4"/>
      <c r="E3" s="2">
        <f>IF(A221=1,D211,0)</f>
        <v>0</v>
      </c>
      <c r="F3" s="2"/>
      <c r="G3" s="2">
        <f>IF(A221=2,A218,20)</f>
        <v>30</v>
      </c>
      <c r="H3" s="2" t="str">
        <f>IF(E211=1,"Aluminium-Stahl-Leiter","Aluminium-Leiter")</f>
        <v>Aluminium-Stahl-Leiter</v>
      </c>
      <c r="L3" s="8"/>
      <c r="M3" s="8"/>
      <c r="N3" s="8"/>
      <c r="O3" s="8"/>
      <c r="P3" s="8"/>
      <c r="Q3" s="8"/>
      <c r="R3" s="8"/>
      <c r="S3" s="9"/>
    </row>
    <row r="4" spans="1:19" x14ac:dyDescent="0.2">
      <c r="B4" s="6"/>
      <c r="C4" s="6"/>
      <c r="D4" s="6"/>
      <c r="E4" s="6"/>
      <c r="F4" s="6"/>
      <c r="G4" s="6"/>
      <c r="H4" s="6"/>
      <c r="L4" s="8"/>
      <c r="M4" s="8"/>
      <c r="N4" s="8"/>
      <c r="O4" s="8"/>
      <c r="P4" s="8"/>
      <c r="Q4" s="8"/>
      <c r="R4" s="8"/>
      <c r="S4" s="9"/>
    </row>
    <row r="5" spans="1:19" x14ac:dyDescent="0.2">
      <c r="A5" s="4" t="s">
        <v>28</v>
      </c>
      <c r="B5" s="4" t="s">
        <v>22</v>
      </c>
      <c r="C5" s="6"/>
      <c r="D5" s="6"/>
      <c r="E5" s="6"/>
      <c r="F5" s="6"/>
      <c r="G5" s="6"/>
      <c r="H5" s="6"/>
      <c r="L5" s="8"/>
      <c r="M5" s="10">
        <v>75</v>
      </c>
      <c r="N5" s="11"/>
      <c r="O5" s="8"/>
      <c r="P5" s="8"/>
      <c r="Q5" s="8"/>
      <c r="R5" s="8"/>
      <c r="S5" s="9"/>
    </row>
    <row r="6" spans="1:19" x14ac:dyDescent="0.2">
      <c r="A6" s="7">
        <f>IF(AC270&gt;AE270,AE270,AC270)</f>
        <v>9.7541875273398126</v>
      </c>
      <c r="B6" s="7">
        <f>IF(AA270&gt;0,AA270,0)</f>
        <v>17.245812472660187</v>
      </c>
      <c r="C6" s="6"/>
      <c r="D6" s="6"/>
      <c r="E6" s="6"/>
      <c r="F6" s="6"/>
      <c r="G6" s="6"/>
      <c r="H6" s="6"/>
      <c r="L6" s="8"/>
      <c r="M6" s="8"/>
      <c r="N6" s="8"/>
      <c r="O6" s="8"/>
      <c r="P6" s="8"/>
      <c r="Q6" s="8"/>
      <c r="R6" s="8"/>
      <c r="S6" s="9"/>
    </row>
    <row r="7" spans="1:19" x14ac:dyDescent="0.2">
      <c r="L7" s="11"/>
      <c r="M7" s="8"/>
      <c r="N7" s="8"/>
      <c r="O7" s="8"/>
      <c r="P7" s="8"/>
      <c r="Q7" s="8"/>
      <c r="R7" s="11"/>
      <c r="S7" s="9"/>
    </row>
    <row r="8" spans="1:19" x14ac:dyDescent="0.2">
      <c r="L8" s="8"/>
      <c r="M8" s="8"/>
      <c r="N8" s="8"/>
      <c r="O8" s="8"/>
      <c r="P8" s="8"/>
      <c r="Q8" s="8"/>
      <c r="R8" s="8"/>
      <c r="S8" s="9"/>
    </row>
    <row r="9" spans="1:19" x14ac:dyDescent="0.2">
      <c r="L9" s="8"/>
      <c r="M9" s="8"/>
      <c r="N9" s="8"/>
      <c r="O9" s="8"/>
      <c r="P9" s="8"/>
      <c r="Q9" s="8"/>
      <c r="R9" s="8"/>
      <c r="S9" s="9"/>
    </row>
    <row r="10" spans="1:19" x14ac:dyDescent="0.2">
      <c r="L10" s="8"/>
      <c r="M10" s="8"/>
      <c r="N10" s="8"/>
      <c r="O10" s="8"/>
      <c r="P10" s="8"/>
      <c r="Q10" s="8"/>
      <c r="R10" s="8"/>
      <c r="S10" s="9"/>
    </row>
    <row r="11" spans="1:19" x14ac:dyDescent="0.2">
      <c r="L11" s="8"/>
      <c r="M11" s="8"/>
      <c r="N11" s="8"/>
      <c r="O11" s="8"/>
      <c r="P11" s="8"/>
      <c r="Q11" s="8"/>
      <c r="R11" s="8"/>
      <c r="S11" s="9"/>
    </row>
    <row r="12" spans="1:19" x14ac:dyDescent="0.2">
      <c r="L12" s="8"/>
      <c r="M12" s="8"/>
      <c r="N12" s="8"/>
      <c r="O12" s="8"/>
      <c r="P12" s="8"/>
      <c r="Q12" s="8"/>
      <c r="R12" s="8"/>
      <c r="S12" s="9"/>
    </row>
    <row r="13" spans="1:19" x14ac:dyDescent="0.2">
      <c r="L13" s="8"/>
      <c r="M13" s="8"/>
      <c r="N13" s="8"/>
      <c r="O13" s="8"/>
      <c r="P13" s="8"/>
      <c r="Q13" s="8"/>
      <c r="R13" s="8"/>
      <c r="S13" s="9"/>
    </row>
    <row r="14" spans="1:19" x14ac:dyDescent="0.2">
      <c r="L14" s="8"/>
      <c r="M14" s="8"/>
      <c r="N14" s="8"/>
      <c r="O14" s="8"/>
      <c r="P14" s="8"/>
      <c r="Q14" s="8"/>
      <c r="R14" s="8"/>
      <c r="S14" s="9"/>
    </row>
    <row r="15" spans="1:19" x14ac:dyDescent="0.2">
      <c r="L15" s="8"/>
      <c r="M15" s="8"/>
      <c r="N15" s="8"/>
      <c r="O15" s="8"/>
      <c r="P15" s="8"/>
      <c r="Q15" s="8"/>
      <c r="R15" s="8"/>
      <c r="S15" s="9"/>
    </row>
    <row r="16" spans="1:19" x14ac:dyDescent="0.2">
      <c r="L16" s="8"/>
      <c r="M16" s="8"/>
      <c r="N16" s="8"/>
      <c r="O16" s="8"/>
      <c r="P16" s="8"/>
      <c r="Q16" s="8"/>
      <c r="R16" s="8"/>
      <c r="S16" s="9"/>
    </row>
    <row r="17" spans="12:19" x14ac:dyDescent="0.2">
      <c r="L17" s="8"/>
      <c r="M17" s="8"/>
      <c r="N17" s="8"/>
      <c r="O17" s="8"/>
      <c r="P17" s="8"/>
      <c r="Q17" s="8"/>
      <c r="R17" s="8"/>
      <c r="S17" s="9"/>
    </row>
    <row r="18" spans="12:19" x14ac:dyDescent="0.2">
      <c r="L18" s="8"/>
      <c r="M18" s="8"/>
      <c r="N18" s="8"/>
      <c r="O18" s="8"/>
      <c r="P18" s="8"/>
      <c r="Q18" s="8"/>
      <c r="R18" s="8"/>
      <c r="S18" s="9"/>
    </row>
    <row r="19" spans="12:19" x14ac:dyDescent="0.2">
      <c r="L19" s="8"/>
      <c r="M19" s="8"/>
      <c r="N19" s="8"/>
      <c r="O19" s="8"/>
      <c r="P19" s="8"/>
      <c r="Q19" s="8"/>
      <c r="R19" s="8"/>
      <c r="S19" s="9"/>
    </row>
    <row r="20" spans="12:19" x14ac:dyDescent="0.2">
      <c r="L20" s="8"/>
      <c r="M20" s="8"/>
      <c r="N20" s="8"/>
      <c r="O20" s="8"/>
      <c r="P20" s="8"/>
      <c r="Q20" s="8"/>
      <c r="R20" s="8"/>
      <c r="S20" s="9"/>
    </row>
    <row r="21" spans="12:19" x14ac:dyDescent="0.2">
      <c r="L21" s="8"/>
      <c r="M21" s="8"/>
      <c r="N21" s="8"/>
      <c r="O21" s="8"/>
      <c r="P21" s="8"/>
      <c r="Q21" s="8"/>
      <c r="R21" s="8"/>
      <c r="S21" s="12"/>
    </row>
    <row r="22" spans="12:19" x14ac:dyDescent="0.2">
      <c r="L22" s="8"/>
      <c r="M22" s="8"/>
      <c r="N22" s="8"/>
      <c r="O22" s="8"/>
      <c r="P22" s="8"/>
      <c r="Q22" s="8"/>
      <c r="R22" s="8"/>
      <c r="S22" s="12"/>
    </row>
    <row r="23" spans="12:19" x14ac:dyDescent="0.2">
      <c r="L23" s="8"/>
      <c r="M23" s="8"/>
      <c r="N23" s="8"/>
      <c r="O23" s="8"/>
      <c r="P23" s="8"/>
      <c r="Q23" s="8"/>
      <c r="R23" s="8"/>
      <c r="S23" s="9"/>
    </row>
    <row r="24" spans="12:19" x14ac:dyDescent="0.2">
      <c r="L24" s="8"/>
      <c r="M24" s="8"/>
      <c r="N24" s="8"/>
      <c r="O24" s="8"/>
      <c r="P24" s="8"/>
      <c r="Q24" s="8"/>
      <c r="R24" s="8"/>
      <c r="S24" s="9"/>
    </row>
    <row r="25" spans="12:19" x14ac:dyDescent="0.2">
      <c r="L25" s="8"/>
      <c r="M25" s="8"/>
      <c r="N25" s="8"/>
      <c r="O25" s="8"/>
      <c r="P25" s="8"/>
      <c r="Q25" s="8"/>
      <c r="R25" s="8"/>
      <c r="S25" s="9"/>
    </row>
    <row r="26" spans="12:19" x14ac:dyDescent="0.2">
      <c r="L26" s="8" t="s">
        <v>29</v>
      </c>
      <c r="M26" s="8"/>
      <c r="N26" s="8"/>
      <c r="O26" s="8"/>
      <c r="P26" s="8"/>
      <c r="Q26" s="8"/>
      <c r="R26" s="8"/>
      <c r="S26" s="9"/>
    </row>
    <row r="27" spans="12:19" x14ac:dyDescent="0.2">
      <c r="L27" s="8"/>
      <c r="M27" s="8"/>
      <c r="N27" s="8"/>
      <c r="O27" s="8"/>
      <c r="P27" s="8"/>
      <c r="Q27" s="8"/>
      <c r="R27" s="8"/>
      <c r="S27" s="9"/>
    </row>
    <row r="28" spans="12:19" x14ac:dyDescent="0.2">
      <c r="L28" s="8"/>
      <c r="M28" s="9"/>
      <c r="N28" s="8"/>
      <c r="O28" s="8"/>
      <c r="P28" s="8"/>
      <c r="Q28" s="8"/>
      <c r="R28" s="8"/>
      <c r="S28" s="9"/>
    </row>
    <row r="29" spans="12:19" x14ac:dyDescent="0.2">
      <c r="L29" s="8"/>
      <c r="M29" s="8"/>
      <c r="N29" s="8"/>
      <c r="O29" s="8"/>
      <c r="P29" s="8"/>
      <c r="Q29" s="8"/>
      <c r="R29" s="8"/>
      <c r="S29" s="9"/>
    </row>
    <row r="30" spans="12:19" x14ac:dyDescent="0.2">
      <c r="L30" s="8"/>
      <c r="M30" s="8"/>
      <c r="N30" s="8"/>
      <c r="O30" s="8"/>
      <c r="P30" s="8"/>
      <c r="Q30" s="8"/>
      <c r="R30" s="8"/>
      <c r="S30" s="9"/>
    </row>
    <row r="31" spans="12:19" x14ac:dyDescent="0.2">
      <c r="L31" s="8"/>
      <c r="M31" s="8"/>
      <c r="N31" s="8"/>
      <c r="O31" s="8"/>
      <c r="P31" s="8"/>
      <c r="Q31" s="8"/>
      <c r="R31" s="8"/>
      <c r="S31" s="9"/>
    </row>
    <row r="32" spans="12:19" x14ac:dyDescent="0.2">
      <c r="L32" s="8"/>
      <c r="M32" s="8"/>
      <c r="N32" s="8"/>
      <c r="O32" s="8"/>
      <c r="P32" s="8"/>
      <c r="Q32" s="8"/>
      <c r="R32" s="8"/>
      <c r="S32" s="9"/>
    </row>
    <row r="33" spans="9:19" x14ac:dyDescent="0.2">
      <c r="L33" s="8"/>
      <c r="M33" s="8"/>
      <c r="N33" s="8"/>
      <c r="O33" s="8"/>
      <c r="P33" s="8"/>
      <c r="Q33" s="8"/>
      <c r="R33" s="8"/>
      <c r="S33" s="9"/>
    </row>
    <row r="34" spans="9:19" x14ac:dyDescent="0.2">
      <c r="L34" s="8"/>
      <c r="M34" s="8"/>
      <c r="N34" s="8"/>
      <c r="O34" s="8"/>
      <c r="P34" s="8"/>
      <c r="Q34" s="8"/>
      <c r="R34" s="8"/>
      <c r="S34" s="9"/>
    </row>
    <row r="35" spans="9:19" x14ac:dyDescent="0.2">
      <c r="L35" s="12"/>
      <c r="M35" s="12"/>
      <c r="N35" s="12"/>
      <c r="O35" s="9"/>
      <c r="P35" s="9"/>
      <c r="Q35" s="9"/>
      <c r="R35" s="9"/>
      <c r="S35" s="9"/>
    </row>
    <row r="36" spans="9:19" x14ac:dyDescent="0.2">
      <c r="L36" s="25"/>
      <c r="M36" s="25"/>
      <c r="N36" s="25"/>
      <c r="O36" s="25"/>
      <c r="P36" s="25"/>
      <c r="Q36" s="25"/>
      <c r="R36" s="25"/>
      <c r="S36" s="9"/>
    </row>
    <row r="37" spans="9:19" x14ac:dyDescent="0.2">
      <c r="L37" s="13"/>
      <c r="M37" s="8"/>
      <c r="N37" s="8"/>
      <c r="O37" s="8"/>
      <c r="P37" s="8"/>
      <c r="Q37" s="8"/>
      <c r="R37" s="8"/>
      <c r="S37" s="9"/>
    </row>
    <row r="38" spans="9:19" x14ac:dyDescent="0.2">
      <c r="L38" s="12"/>
      <c r="M38" s="12"/>
      <c r="N38" s="12"/>
      <c r="O38" s="9"/>
      <c r="P38" s="9"/>
      <c r="Q38" s="9"/>
      <c r="R38" s="9"/>
      <c r="S38" s="9"/>
    </row>
    <row r="39" spans="9:19" x14ac:dyDescent="0.2">
      <c r="L39" s="12"/>
      <c r="M39" s="12"/>
      <c r="N39" s="12"/>
      <c r="O39" s="9"/>
      <c r="P39" s="9"/>
      <c r="Q39" s="9"/>
      <c r="R39" s="9"/>
      <c r="S39" s="9"/>
    </row>
    <row r="40" spans="9:19" x14ac:dyDescent="0.2">
      <c r="L40" s="12"/>
      <c r="M40" s="12"/>
      <c r="N40" s="12"/>
      <c r="O40" s="9"/>
      <c r="P40" s="9"/>
      <c r="Q40" s="9"/>
      <c r="R40" s="9"/>
      <c r="S40" s="9"/>
    </row>
    <row r="41" spans="9:19" x14ac:dyDescent="0.2">
      <c r="L41" s="12"/>
      <c r="M41" s="12"/>
      <c r="N41" s="12"/>
      <c r="O41" s="9"/>
      <c r="P41" s="9"/>
      <c r="Q41" s="9"/>
      <c r="R41" s="9"/>
      <c r="S41" s="9"/>
    </row>
    <row r="42" spans="9:19" x14ac:dyDescent="0.2">
      <c r="L42" s="12"/>
      <c r="M42" s="12"/>
      <c r="N42" s="12"/>
      <c r="O42" s="9"/>
      <c r="P42" s="9"/>
      <c r="Q42" s="9"/>
      <c r="R42" s="9"/>
      <c r="S42" s="9"/>
    </row>
    <row r="43" spans="9:19" x14ac:dyDescent="0.2">
      <c r="I43" s="2"/>
      <c r="L43" s="12"/>
      <c r="M43" s="12"/>
      <c r="N43" s="12"/>
      <c r="O43" s="9"/>
      <c r="P43" s="9"/>
      <c r="Q43" s="9"/>
      <c r="R43" s="9"/>
      <c r="S43" s="9"/>
    </row>
    <row r="44" spans="9:19" x14ac:dyDescent="0.2">
      <c r="I44" s="1"/>
      <c r="L44" s="12"/>
      <c r="M44" s="12"/>
      <c r="N44" s="12"/>
      <c r="O44" s="9"/>
      <c r="P44" s="9"/>
      <c r="Q44" s="9"/>
      <c r="R44" s="9"/>
      <c r="S44" s="9"/>
    </row>
    <row r="45" spans="9:19" x14ac:dyDescent="0.2">
      <c r="I45" s="1"/>
      <c r="L45" s="12"/>
      <c r="M45" s="25"/>
      <c r="N45" s="25"/>
      <c r="O45" s="25"/>
      <c r="P45" s="25"/>
      <c r="Q45" s="25"/>
      <c r="R45" s="25"/>
      <c r="S45" s="25"/>
    </row>
    <row r="46" spans="9:19" x14ac:dyDescent="0.2">
      <c r="I46" s="6"/>
      <c r="J46" s="6"/>
      <c r="K46" s="6"/>
      <c r="L46" s="26"/>
      <c r="M46" s="26"/>
      <c r="N46" s="26"/>
      <c r="O46" s="26"/>
      <c r="P46" s="26"/>
      <c r="Q46" s="26"/>
      <c r="R46" s="26"/>
      <c r="S46" s="26"/>
    </row>
    <row r="47" spans="9:19" x14ac:dyDescent="0.2">
      <c r="I47" s="6"/>
      <c r="J47" s="6"/>
      <c r="K47" s="6"/>
      <c r="L47" s="12"/>
      <c r="M47" s="25" t="s">
        <v>30</v>
      </c>
      <c r="N47" s="25"/>
      <c r="O47" s="25"/>
      <c r="P47" s="25"/>
      <c r="Q47" s="25"/>
      <c r="R47" s="25"/>
      <c r="S47" s="25"/>
    </row>
    <row r="48" spans="9:19" x14ac:dyDescent="0.2">
      <c r="I48" s="6"/>
      <c r="J48" s="6"/>
      <c r="K48" s="6"/>
      <c r="L48" s="26" t="s">
        <v>31</v>
      </c>
      <c r="M48" s="26"/>
      <c r="N48" s="26"/>
      <c r="O48" s="26"/>
      <c r="P48" s="26"/>
      <c r="Q48" s="26"/>
      <c r="R48" s="26"/>
      <c r="S48" s="26"/>
    </row>
    <row r="49" spans="1:19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12"/>
      <c r="M49" s="12"/>
      <c r="N49" s="12"/>
      <c r="O49" s="9"/>
      <c r="P49" s="9"/>
      <c r="Q49" s="9"/>
      <c r="R49" s="9"/>
      <c r="S49" s="9"/>
    </row>
    <row r="50" spans="1:19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9"/>
      <c r="M50" s="9"/>
      <c r="N50" s="9"/>
      <c r="O50" s="9"/>
      <c r="P50" s="9"/>
      <c r="Q50" s="9"/>
      <c r="R50" s="9"/>
      <c r="S50" s="9"/>
    </row>
    <row r="51" spans="1:19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9"/>
      <c r="M51" s="9"/>
      <c r="N51" s="9"/>
      <c r="O51" s="9"/>
      <c r="P51" s="9"/>
      <c r="Q51" s="9"/>
      <c r="R51" s="9"/>
      <c r="S51" s="9"/>
    </row>
    <row r="52" spans="1:19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9"/>
      <c r="M52" s="9"/>
      <c r="N52" s="9"/>
      <c r="O52" s="9"/>
      <c r="P52" s="9"/>
      <c r="Q52" s="9"/>
      <c r="R52" s="9"/>
      <c r="S52" s="9"/>
    </row>
    <row r="53" spans="1:19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9"/>
      <c r="M53" s="9"/>
      <c r="N53" s="9"/>
      <c r="O53" s="9"/>
      <c r="P53" s="9"/>
      <c r="Q53" s="9"/>
      <c r="R53" s="9"/>
      <c r="S53" s="9"/>
    </row>
    <row r="54" spans="1:19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9"/>
      <c r="M54" s="9"/>
      <c r="N54" s="9"/>
      <c r="O54" s="9"/>
      <c r="P54" s="9"/>
      <c r="Q54" s="9"/>
      <c r="R54" s="9"/>
      <c r="S54" s="9"/>
    </row>
    <row r="55" spans="1:19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9"/>
      <c r="M55" s="9"/>
      <c r="N55" s="9"/>
      <c r="O55" s="9"/>
      <c r="P55" s="9"/>
      <c r="Q55" s="9"/>
      <c r="R55" s="9"/>
      <c r="S55" s="9"/>
    </row>
    <row r="56" spans="1:19" x14ac:dyDescent="0.2">
      <c r="L56" s="9"/>
      <c r="M56" s="9"/>
      <c r="N56" s="9"/>
      <c r="O56" s="9"/>
      <c r="P56" s="9"/>
      <c r="Q56" s="9"/>
      <c r="R56" s="9"/>
      <c r="S56" s="9"/>
    </row>
    <row r="57" spans="1:19" x14ac:dyDescent="0.2">
      <c r="L57" s="9"/>
      <c r="M57" s="9"/>
      <c r="N57" s="9"/>
      <c r="O57" s="9"/>
      <c r="P57" s="9"/>
      <c r="Q57" s="9"/>
      <c r="R57" s="9"/>
      <c r="S57" s="9"/>
    </row>
    <row r="58" spans="1:19" x14ac:dyDescent="0.2">
      <c r="L58" s="9"/>
      <c r="M58" s="9"/>
      <c r="N58" s="9"/>
      <c r="O58" s="9"/>
      <c r="P58" s="9"/>
      <c r="Q58" s="9"/>
      <c r="R58" s="9"/>
      <c r="S58" s="9"/>
    </row>
    <row r="59" spans="1:19" x14ac:dyDescent="0.2">
      <c r="L59" s="9"/>
      <c r="M59" s="9"/>
      <c r="N59" s="9"/>
      <c r="O59" s="9"/>
      <c r="P59" s="9"/>
      <c r="Q59" s="9"/>
      <c r="R59" s="9"/>
      <c r="S59" s="9"/>
    </row>
    <row r="60" spans="1:19" x14ac:dyDescent="0.2">
      <c r="L60" s="9"/>
      <c r="M60" s="9"/>
      <c r="N60" s="9"/>
      <c r="O60" s="9"/>
      <c r="P60" s="9"/>
      <c r="Q60" s="9"/>
      <c r="R60" s="9"/>
      <c r="S60" s="9"/>
    </row>
    <row r="61" spans="1:19" x14ac:dyDescent="0.2">
      <c r="L61" s="9"/>
      <c r="M61" s="9"/>
      <c r="N61" s="9"/>
      <c r="O61" s="9"/>
      <c r="P61" s="9"/>
      <c r="Q61" s="9"/>
      <c r="R61" s="9"/>
      <c r="S61" s="9"/>
    </row>
    <row r="62" spans="1:19" x14ac:dyDescent="0.2">
      <c r="L62" s="9"/>
      <c r="M62" s="9"/>
      <c r="N62" s="9"/>
      <c r="O62" s="9"/>
      <c r="P62" s="9"/>
      <c r="Q62" s="9"/>
      <c r="R62" s="9"/>
      <c r="S62" s="9"/>
    </row>
    <row r="63" spans="1:19" x14ac:dyDescent="0.2">
      <c r="L63" s="9"/>
      <c r="M63" s="9"/>
      <c r="N63" s="9"/>
      <c r="O63" s="9"/>
      <c r="P63" s="9"/>
      <c r="Q63" s="9"/>
      <c r="R63" s="9"/>
      <c r="S63" s="9"/>
    </row>
    <row r="64" spans="1:19" x14ac:dyDescent="0.2">
      <c r="L64" s="9"/>
      <c r="M64" s="9"/>
      <c r="N64" s="9"/>
      <c r="O64" s="9"/>
      <c r="P64" s="9"/>
      <c r="Q64" s="9"/>
      <c r="R64" s="9"/>
      <c r="S64" s="9"/>
    </row>
    <row r="65" spans="12:19" x14ac:dyDescent="0.2">
      <c r="L65" s="9"/>
      <c r="M65" s="9"/>
      <c r="N65" s="9"/>
      <c r="O65" s="9"/>
      <c r="P65" s="9"/>
      <c r="Q65" s="9"/>
      <c r="R65" s="9"/>
      <c r="S65" s="9"/>
    </row>
    <row r="66" spans="12:19" x14ac:dyDescent="0.2">
      <c r="L66" s="9"/>
      <c r="M66" s="9"/>
      <c r="N66" s="9"/>
      <c r="O66" s="9"/>
      <c r="P66" s="9"/>
      <c r="Q66" s="9"/>
      <c r="R66" s="9"/>
      <c r="S66" s="9"/>
    </row>
    <row r="67" spans="12:19" x14ac:dyDescent="0.2">
      <c r="L67" s="9"/>
      <c r="M67" s="9"/>
      <c r="N67" s="9"/>
      <c r="O67" s="9"/>
      <c r="P67" s="9"/>
      <c r="Q67" s="9"/>
      <c r="R67" s="9"/>
      <c r="S67" s="9"/>
    </row>
    <row r="68" spans="12:19" x14ac:dyDescent="0.2">
      <c r="L68" s="9"/>
      <c r="M68" s="9"/>
      <c r="N68" s="9"/>
      <c r="O68" s="9"/>
      <c r="P68" s="9"/>
      <c r="Q68" s="9"/>
      <c r="R68" s="9"/>
      <c r="S68" s="9"/>
    </row>
    <row r="69" spans="12:19" x14ac:dyDescent="0.2">
      <c r="L69" s="9"/>
      <c r="M69" s="9"/>
      <c r="N69" s="9"/>
      <c r="O69" s="9"/>
      <c r="P69" s="9"/>
      <c r="Q69" s="9"/>
      <c r="R69" s="9"/>
      <c r="S69" s="9"/>
    </row>
    <row r="70" spans="12:19" x14ac:dyDescent="0.2">
      <c r="L70" s="9"/>
      <c r="M70" s="9"/>
      <c r="N70" s="9"/>
      <c r="O70" s="9"/>
      <c r="P70" s="9"/>
      <c r="Q70" s="9"/>
      <c r="R70" s="9"/>
      <c r="S70" s="9"/>
    </row>
    <row r="71" spans="12:19" x14ac:dyDescent="0.2">
      <c r="L71" s="9"/>
      <c r="M71" s="9"/>
      <c r="N71" s="9"/>
      <c r="O71" s="9"/>
      <c r="P71" s="9"/>
      <c r="Q71" s="9"/>
      <c r="R71" s="9"/>
      <c r="S71" s="9"/>
    </row>
    <row r="72" spans="12:19" x14ac:dyDescent="0.2">
      <c r="L72" s="9"/>
      <c r="M72" s="9"/>
      <c r="N72" s="9"/>
      <c r="O72" s="9"/>
      <c r="P72" s="9"/>
      <c r="Q72" s="9"/>
      <c r="R72" s="9"/>
      <c r="S72" s="9"/>
    </row>
    <row r="73" spans="12:19" x14ac:dyDescent="0.2">
      <c r="L73" s="9"/>
      <c r="M73" s="9"/>
      <c r="N73" s="9"/>
      <c r="O73" s="9"/>
      <c r="P73" s="9"/>
      <c r="Q73" s="9"/>
      <c r="R73" s="9"/>
      <c r="S73" s="9"/>
    </row>
    <row r="74" spans="12:19" x14ac:dyDescent="0.2">
      <c r="L74" s="9"/>
      <c r="M74" s="9"/>
      <c r="N74" s="9"/>
      <c r="O74" s="9"/>
      <c r="P74" s="9"/>
      <c r="Q74" s="9"/>
      <c r="R74" s="9"/>
      <c r="S74" s="9"/>
    </row>
    <row r="75" spans="12:19" x14ac:dyDescent="0.2">
      <c r="L75" s="9"/>
      <c r="M75" s="9"/>
      <c r="N75" s="9"/>
      <c r="O75" s="9"/>
      <c r="P75" s="9"/>
      <c r="Q75" s="9"/>
      <c r="R75" s="9"/>
      <c r="S75" s="9"/>
    </row>
    <row r="76" spans="12:19" x14ac:dyDescent="0.2">
      <c r="L76" s="9"/>
      <c r="M76" s="9"/>
      <c r="N76" s="9"/>
      <c r="O76" s="9"/>
      <c r="P76" s="9"/>
      <c r="Q76" s="9"/>
      <c r="R76" s="9"/>
      <c r="S76" s="9"/>
    </row>
    <row r="77" spans="12:19" x14ac:dyDescent="0.2">
      <c r="L77" s="9"/>
      <c r="M77" s="9"/>
      <c r="N77" s="9"/>
      <c r="O77" s="9"/>
      <c r="P77" s="9"/>
      <c r="Q77" s="9"/>
      <c r="R77" s="9"/>
      <c r="S77" s="9"/>
    </row>
    <row r="78" spans="12:19" x14ac:dyDescent="0.2">
      <c r="L78" s="9"/>
      <c r="M78" s="9"/>
      <c r="N78" s="9"/>
      <c r="O78" s="9"/>
      <c r="P78" s="9"/>
      <c r="Q78" s="9"/>
      <c r="R78" s="9"/>
      <c r="S78" s="9"/>
    </row>
    <row r="79" spans="12:19" x14ac:dyDescent="0.2">
      <c r="L79" s="9"/>
      <c r="M79" s="9"/>
      <c r="N79" s="9"/>
      <c r="O79" s="9"/>
      <c r="P79" s="9"/>
      <c r="Q79" s="9"/>
      <c r="R79" s="9"/>
      <c r="S79" s="9"/>
    </row>
    <row r="80" spans="12:19" x14ac:dyDescent="0.2">
      <c r="L80" s="9"/>
      <c r="M80" s="9"/>
      <c r="N80" s="9"/>
      <c r="O80" s="9"/>
      <c r="P80" s="9"/>
      <c r="Q80" s="9"/>
      <c r="R80" s="9"/>
      <c r="S80" s="9"/>
    </row>
    <row r="81" spans="12:19" x14ac:dyDescent="0.2">
      <c r="L81" s="9"/>
      <c r="M81" s="9"/>
      <c r="N81" s="9"/>
      <c r="O81" s="9"/>
      <c r="P81" s="9"/>
      <c r="Q81" s="9"/>
      <c r="R81" s="9"/>
      <c r="S81" s="9"/>
    </row>
    <row r="82" spans="12:19" x14ac:dyDescent="0.2">
      <c r="L82" s="9"/>
      <c r="M82" s="9"/>
      <c r="N82" s="9"/>
      <c r="O82" s="9"/>
      <c r="P82" s="9"/>
      <c r="Q82" s="9"/>
      <c r="R82" s="9"/>
      <c r="S82" s="9"/>
    </row>
    <row r="83" spans="12:19" x14ac:dyDescent="0.2">
      <c r="L83" s="9"/>
      <c r="M83" s="9"/>
      <c r="N83" s="9"/>
      <c r="O83" s="9"/>
      <c r="P83" s="9"/>
      <c r="Q83" s="9"/>
      <c r="R83" s="9"/>
      <c r="S83" s="9"/>
    </row>
    <row r="84" spans="12:19" x14ac:dyDescent="0.2">
      <c r="L84" s="9"/>
      <c r="M84" s="9"/>
      <c r="N84" s="9"/>
      <c r="O84" s="9"/>
      <c r="P84" s="9"/>
      <c r="Q84" s="9"/>
      <c r="R84" s="9"/>
      <c r="S84" s="9"/>
    </row>
    <row r="85" spans="12:19" x14ac:dyDescent="0.2">
      <c r="L85" s="9"/>
      <c r="M85" s="9"/>
      <c r="N85" s="9"/>
      <c r="O85" s="9"/>
      <c r="P85" s="9"/>
      <c r="Q85" s="9"/>
      <c r="R85" s="9"/>
      <c r="S85" s="9"/>
    </row>
    <row r="86" spans="12:19" x14ac:dyDescent="0.2">
      <c r="L86" s="9"/>
      <c r="M86" s="9"/>
      <c r="N86" s="9"/>
      <c r="O86" s="9"/>
      <c r="P86" s="9"/>
      <c r="Q86" s="9"/>
      <c r="R86" s="9"/>
      <c r="S86" s="9"/>
    </row>
    <row r="87" spans="12:19" x14ac:dyDescent="0.2">
      <c r="L87" s="9"/>
      <c r="M87" s="9"/>
      <c r="N87" s="9"/>
      <c r="O87" s="9"/>
      <c r="P87" s="9"/>
      <c r="Q87" s="9"/>
      <c r="R87" s="9"/>
      <c r="S87" s="9"/>
    </row>
    <row r="88" spans="12:19" x14ac:dyDescent="0.2">
      <c r="L88" s="9"/>
      <c r="M88" s="9"/>
      <c r="N88" s="9"/>
      <c r="O88" s="9"/>
      <c r="P88" s="9"/>
      <c r="Q88" s="9"/>
      <c r="R88" s="9"/>
      <c r="S88" s="9"/>
    </row>
    <row r="89" spans="12:19" x14ac:dyDescent="0.2">
      <c r="L89" s="9"/>
      <c r="M89" s="9"/>
      <c r="N89" s="9"/>
      <c r="O89" s="9"/>
      <c r="P89" s="9"/>
      <c r="Q89" s="9"/>
      <c r="R89" s="9"/>
      <c r="S89" s="9"/>
    </row>
    <row r="90" spans="12:19" x14ac:dyDescent="0.2">
      <c r="L90" s="9"/>
      <c r="M90" s="9"/>
      <c r="N90" s="9"/>
      <c r="O90" s="9"/>
      <c r="P90" s="9"/>
      <c r="Q90" s="9"/>
      <c r="R90" s="9"/>
      <c r="S90" s="9"/>
    </row>
    <row r="91" spans="12:19" x14ac:dyDescent="0.2">
      <c r="L91" s="9"/>
      <c r="M91" s="9"/>
      <c r="N91" s="9"/>
      <c r="O91" s="9"/>
      <c r="P91" s="9"/>
      <c r="Q91" s="9"/>
      <c r="R91" s="9"/>
      <c r="S91" s="9"/>
    </row>
    <row r="92" spans="12:19" x14ac:dyDescent="0.2">
      <c r="L92" s="9"/>
      <c r="M92" s="9"/>
      <c r="N92" s="9"/>
      <c r="O92" s="9"/>
      <c r="P92" s="9"/>
      <c r="Q92" s="9"/>
      <c r="R92" s="9"/>
      <c r="S92" s="9"/>
    </row>
    <row r="93" spans="12:19" x14ac:dyDescent="0.2">
      <c r="L93" s="9"/>
      <c r="M93" s="9"/>
      <c r="N93" s="9"/>
      <c r="O93" s="9"/>
      <c r="P93" s="9"/>
      <c r="Q93" s="9"/>
      <c r="R93" s="9"/>
      <c r="S93" s="9"/>
    </row>
    <row r="94" spans="12:19" x14ac:dyDescent="0.2">
      <c r="L94" s="9"/>
      <c r="M94" s="9"/>
      <c r="N94" s="9"/>
      <c r="O94" s="9"/>
      <c r="P94" s="9"/>
      <c r="Q94" s="9"/>
      <c r="R94" s="9"/>
      <c r="S94" s="9"/>
    </row>
    <row r="95" spans="12:19" x14ac:dyDescent="0.2">
      <c r="L95" s="9"/>
      <c r="M95" s="9"/>
      <c r="N95" s="9"/>
      <c r="O95" s="9"/>
      <c r="P95" s="9"/>
      <c r="Q95" s="9"/>
      <c r="R95" s="9"/>
      <c r="S95" s="9"/>
    </row>
    <row r="96" spans="12:19" x14ac:dyDescent="0.2">
      <c r="L96" s="9"/>
      <c r="M96" s="9"/>
      <c r="N96" s="9"/>
      <c r="O96" s="9"/>
      <c r="P96" s="9"/>
      <c r="Q96" s="9"/>
      <c r="R96" s="9"/>
      <c r="S96" s="9"/>
    </row>
    <row r="97" spans="12:19" x14ac:dyDescent="0.2">
      <c r="L97" s="9"/>
      <c r="M97" s="9"/>
      <c r="N97" s="9"/>
      <c r="O97" s="9"/>
      <c r="P97" s="9"/>
      <c r="Q97" s="9"/>
      <c r="R97" s="9"/>
      <c r="S97" s="9"/>
    </row>
    <row r="98" spans="12:19" x14ac:dyDescent="0.2">
      <c r="L98" s="9"/>
      <c r="M98" s="9"/>
      <c r="N98" s="9"/>
      <c r="O98" s="9"/>
      <c r="P98" s="9"/>
      <c r="Q98" s="9"/>
      <c r="R98" s="9"/>
      <c r="S98" s="9"/>
    </row>
    <row r="99" spans="12:19" x14ac:dyDescent="0.2">
      <c r="L99" s="9"/>
      <c r="M99" s="9"/>
      <c r="N99" s="9"/>
      <c r="O99" s="9"/>
      <c r="P99" s="9"/>
      <c r="Q99" s="9"/>
      <c r="R99" s="9"/>
      <c r="S99" s="9"/>
    </row>
    <row r="100" spans="12:19" x14ac:dyDescent="0.2">
      <c r="L100" s="9"/>
      <c r="M100" s="9"/>
      <c r="N100" s="9"/>
      <c r="O100" s="9"/>
      <c r="P100" s="9"/>
      <c r="Q100" s="9"/>
      <c r="R100" s="9"/>
      <c r="S100" s="9"/>
    </row>
    <row r="101" spans="12:19" x14ac:dyDescent="0.2">
      <c r="L101" s="9"/>
      <c r="M101" s="9"/>
      <c r="N101" s="9"/>
      <c r="O101" s="9"/>
      <c r="P101" s="9"/>
      <c r="Q101" s="9"/>
      <c r="R101" s="9"/>
      <c r="S101" s="9"/>
    </row>
    <row r="102" spans="12:19" x14ac:dyDescent="0.2">
      <c r="L102" s="9"/>
      <c r="M102" s="9"/>
      <c r="N102" s="9"/>
      <c r="O102" s="9"/>
      <c r="P102" s="9"/>
      <c r="Q102" s="9"/>
      <c r="R102" s="9"/>
      <c r="S102" s="9"/>
    </row>
    <row r="103" spans="12:19" x14ac:dyDescent="0.2">
      <c r="L103" s="9"/>
      <c r="M103" s="9"/>
      <c r="N103" s="9"/>
      <c r="O103" s="9"/>
      <c r="P103" s="9"/>
      <c r="Q103" s="9"/>
      <c r="R103" s="9"/>
      <c r="S103" s="9"/>
    </row>
    <row r="104" spans="12:19" x14ac:dyDescent="0.2">
      <c r="L104" s="9"/>
      <c r="M104" s="9"/>
      <c r="N104" s="9"/>
      <c r="O104" s="9"/>
      <c r="P104" s="9"/>
      <c r="Q104" s="9"/>
      <c r="R104" s="9"/>
      <c r="S104" s="9"/>
    </row>
    <row r="105" spans="12:19" x14ac:dyDescent="0.2">
      <c r="L105" s="9"/>
      <c r="M105" s="9"/>
      <c r="N105" s="9"/>
      <c r="O105" s="9"/>
      <c r="P105" s="9"/>
      <c r="Q105" s="9"/>
      <c r="R105" s="9"/>
      <c r="S105" s="9"/>
    </row>
    <row r="106" spans="12:19" x14ac:dyDescent="0.2">
      <c r="L106" s="9"/>
      <c r="M106" s="9"/>
      <c r="N106" s="9"/>
      <c r="O106" s="9"/>
      <c r="P106" s="9"/>
      <c r="Q106" s="9"/>
      <c r="R106" s="9"/>
      <c r="S106" s="9"/>
    </row>
    <row r="107" spans="12:19" x14ac:dyDescent="0.2">
      <c r="L107" s="9"/>
      <c r="M107" s="9"/>
      <c r="N107" s="9"/>
      <c r="O107" s="9"/>
      <c r="P107" s="9"/>
      <c r="Q107" s="9"/>
      <c r="R107" s="9"/>
      <c r="S107" s="9"/>
    </row>
    <row r="108" spans="12:19" x14ac:dyDescent="0.2">
      <c r="L108" s="9"/>
      <c r="M108" s="9"/>
      <c r="N108" s="9"/>
      <c r="O108" s="9"/>
      <c r="P108" s="9"/>
      <c r="Q108" s="9"/>
      <c r="R108" s="9"/>
      <c r="S108" s="9"/>
    </row>
    <row r="109" spans="12:19" x14ac:dyDescent="0.2">
      <c r="L109" s="9"/>
      <c r="M109" s="9"/>
      <c r="N109" s="9"/>
      <c r="O109" s="9"/>
      <c r="P109" s="9"/>
      <c r="Q109" s="9"/>
      <c r="R109" s="9"/>
      <c r="S109" s="9"/>
    </row>
    <row r="110" spans="12:19" x14ac:dyDescent="0.2">
      <c r="L110" s="9"/>
      <c r="M110" s="9"/>
      <c r="N110" s="9"/>
      <c r="O110" s="9"/>
      <c r="P110" s="9"/>
      <c r="Q110" s="9"/>
      <c r="R110" s="9"/>
      <c r="S110" s="9"/>
    </row>
    <row r="111" spans="12:19" x14ac:dyDescent="0.2">
      <c r="L111" s="9"/>
      <c r="M111" s="9"/>
      <c r="N111" s="9"/>
      <c r="O111" s="9"/>
      <c r="P111" s="9"/>
      <c r="Q111" s="9"/>
      <c r="R111" s="9"/>
      <c r="S111" s="9"/>
    </row>
    <row r="112" spans="12:19" x14ac:dyDescent="0.2">
      <c r="L112" s="9"/>
      <c r="M112" s="9"/>
      <c r="N112" s="9"/>
      <c r="O112" s="9"/>
      <c r="P112" s="9"/>
      <c r="Q112" s="9"/>
      <c r="R112" s="9"/>
      <c r="S112" s="9"/>
    </row>
    <row r="113" spans="12:19" x14ac:dyDescent="0.2">
      <c r="L113" s="9"/>
      <c r="M113" s="9"/>
      <c r="N113" s="9"/>
      <c r="O113" s="9"/>
      <c r="P113" s="9"/>
      <c r="Q113" s="9"/>
      <c r="R113" s="9"/>
      <c r="S113" s="9"/>
    </row>
    <row r="114" spans="12:19" x14ac:dyDescent="0.2">
      <c r="L114" s="9"/>
      <c r="M114" s="9"/>
      <c r="N114" s="9"/>
      <c r="O114" s="9"/>
      <c r="P114" s="9"/>
      <c r="Q114" s="9"/>
      <c r="R114" s="9"/>
      <c r="S114" s="9"/>
    </row>
    <row r="115" spans="12:19" x14ac:dyDescent="0.2">
      <c r="L115" s="9"/>
      <c r="M115" s="9"/>
      <c r="N115" s="9"/>
      <c r="O115" s="9"/>
      <c r="P115" s="9"/>
      <c r="Q115" s="9"/>
      <c r="R115" s="9"/>
      <c r="S115" s="9"/>
    </row>
    <row r="116" spans="12:19" x14ac:dyDescent="0.2">
      <c r="L116" s="9"/>
      <c r="M116" s="9"/>
      <c r="N116" s="9"/>
      <c r="O116" s="9"/>
      <c r="P116" s="9"/>
      <c r="Q116" s="9"/>
      <c r="R116" s="9"/>
      <c r="S116" s="9"/>
    </row>
    <row r="117" spans="12:19" x14ac:dyDescent="0.2">
      <c r="L117" s="9"/>
      <c r="M117" s="9"/>
      <c r="N117" s="9"/>
      <c r="O117" s="9"/>
      <c r="P117" s="9"/>
      <c r="Q117" s="9"/>
      <c r="R117" s="9"/>
      <c r="S117" s="9"/>
    </row>
    <row r="118" spans="12:19" x14ac:dyDescent="0.2">
      <c r="L118" s="9"/>
      <c r="M118" s="9"/>
      <c r="N118" s="9"/>
      <c r="O118" s="9"/>
      <c r="P118" s="9"/>
      <c r="Q118" s="9"/>
      <c r="R118" s="9"/>
      <c r="S118" s="9"/>
    </row>
    <row r="119" spans="12:19" x14ac:dyDescent="0.2">
      <c r="L119" s="9"/>
      <c r="M119" s="9"/>
      <c r="N119" s="9"/>
      <c r="O119" s="9"/>
      <c r="P119" s="9"/>
      <c r="Q119" s="9"/>
      <c r="R119" s="9"/>
      <c r="S119" s="9"/>
    </row>
    <row r="120" spans="12:19" x14ac:dyDescent="0.2">
      <c r="L120" s="9"/>
      <c r="M120" s="9"/>
      <c r="N120" s="9"/>
      <c r="O120" s="9"/>
      <c r="P120" s="9"/>
      <c r="Q120" s="9"/>
      <c r="R120" s="9"/>
      <c r="S120" s="9"/>
    </row>
    <row r="121" spans="12:19" x14ac:dyDescent="0.2">
      <c r="L121" s="9"/>
      <c r="M121" s="9"/>
      <c r="N121" s="9"/>
      <c r="O121" s="9"/>
      <c r="P121" s="9"/>
      <c r="Q121" s="9"/>
      <c r="R121" s="9"/>
      <c r="S121" s="9"/>
    </row>
    <row r="122" spans="12:19" x14ac:dyDescent="0.2">
      <c r="L122" s="9"/>
      <c r="M122" s="9"/>
      <c r="N122" s="9"/>
      <c r="O122" s="9"/>
      <c r="P122" s="9"/>
      <c r="Q122" s="9"/>
      <c r="R122" s="9"/>
      <c r="S122" s="9"/>
    </row>
    <row r="123" spans="12:19" x14ac:dyDescent="0.2">
      <c r="L123" s="9"/>
      <c r="M123" s="9"/>
      <c r="N123" s="9"/>
      <c r="O123" s="9"/>
      <c r="P123" s="9"/>
      <c r="Q123" s="9"/>
      <c r="R123" s="9"/>
      <c r="S123" s="9"/>
    </row>
    <row r="124" spans="12:19" x14ac:dyDescent="0.2">
      <c r="L124" s="9"/>
      <c r="M124" s="9"/>
      <c r="N124" s="9"/>
      <c r="O124" s="9"/>
      <c r="P124" s="9"/>
      <c r="Q124" s="9"/>
      <c r="R124" s="9"/>
      <c r="S124" s="9"/>
    </row>
    <row r="125" spans="12:19" x14ac:dyDescent="0.2">
      <c r="L125" s="9"/>
      <c r="M125" s="9"/>
      <c r="N125" s="9"/>
      <c r="O125" s="9"/>
      <c r="P125" s="9"/>
      <c r="Q125" s="9"/>
      <c r="R125" s="9"/>
      <c r="S125" s="9"/>
    </row>
    <row r="126" spans="12:19" x14ac:dyDescent="0.2">
      <c r="L126" s="9"/>
      <c r="M126" s="9"/>
      <c r="N126" s="9"/>
      <c r="O126" s="9"/>
      <c r="P126" s="9"/>
      <c r="Q126" s="9"/>
      <c r="R126" s="9"/>
      <c r="S126" s="9"/>
    </row>
    <row r="127" spans="12:19" x14ac:dyDescent="0.2">
      <c r="L127" s="9"/>
      <c r="M127" s="9"/>
      <c r="N127" s="9"/>
      <c r="O127" s="9"/>
      <c r="P127" s="9"/>
      <c r="Q127" s="9"/>
      <c r="R127" s="9"/>
      <c r="S127" s="9"/>
    </row>
    <row r="128" spans="12:19" x14ac:dyDescent="0.2">
      <c r="L128" s="9"/>
      <c r="M128" s="9"/>
      <c r="N128" s="9"/>
      <c r="O128" s="9"/>
      <c r="P128" s="9"/>
      <c r="Q128" s="9"/>
      <c r="R128" s="9"/>
      <c r="S128" s="9"/>
    </row>
    <row r="129" spans="12:19" x14ac:dyDescent="0.2">
      <c r="L129" s="9"/>
      <c r="M129" s="9"/>
      <c r="N129" s="9"/>
      <c r="O129" s="9"/>
      <c r="P129" s="9"/>
      <c r="Q129" s="9"/>
      <c r="R129" s="9"/>
      <c r="S129" s="9"/>
    </row>
    <row r="130" spans="12:19" x14ac:dyDescent="0.2">
      <c r="L130" s="9"/>
      <c r="M130" s="9"/>
      <c r="N130" s="9"/>
      <c r="O130" s="9"/>
      <c r="P130" s="9"/>
      <c r="Q130" s="9"/>
      <c r="R130" s="9"/>
      <c r="S130" s="9"/>
    </row>
    <row r="131" spans="12:19" x14ac:dyDescent="0.2">
      <c r="L131" s="9"/>
      <c r="M131" s="9"/>
      <c r="N131" s="9"/>
      <c r="O131" s="9"/>
      <c r="P131" s="9"/>
      <c r="Q131" s="9"/>
      <c r="R131" s="9"/>
      <c r="S131" s="9"/>
    </row>
    <row r="132" spans="12:19" x14ac:dyDescent="0.2">
      <c r="L132" s="9"/>
      <c r="M132" s="9"/>
      <c r="N132" s="9"/>
      <c r="O132" s="9"/>
      <c r="P132" s="9"/>
      <c r="Q132" s="9"/>
      <c r="R132" s="9"/>
      <c r="S132" s="9"/>
    </row>
    <row r="133" spans="12:19" x14ac:dyDescent="0.2">
      <c r="L133" s="9"/>
      <c r="M133" s="9"/>
      <c r="N133" s="9"/>
      <c r="O133" s="9"/>
      <c r="P133" s="9"/>
      <c r="Q133" s="9"/>
      <c r="R133" s="9"/>
      <c r="S133" s="9"/>
    </row>
    <row r="134" spans="12:19" x14ac:dyDescent="0.2">
      <c r="L134" s="9"/>
      <c r="M134" s="9"/>
      <c r="N134" s="9"/>
      <c r="O134" s="9"/>
      <c r="P134" s="9"/>
      <c r="Q134" s="9"/>
      <c r="R134" s="9"/>
      <c r="S134" s="9"/>
    </row>
    <row r="135" spans="12:19" x14ac:dyDescent="0.2">
      <c r="L135" s="9"/>
      <c r="M135" s="9"/>
      <c r="N135" s="9"/>
      <c r="O135" s="9"/>
      <c r="P135" s="9"/>
      <c r="Q135" s="9"/>
      <c r="R135" s="9"/>
      <c r="S135" s="9"/>
    </row>
    <row r="136" spans="12:19" x14ac:dyDescent="0.2">
      <c r="L136" s="9"/>
      <c r="M136" s="9"/>
      <c r="N136" s="9"/>
      <c r="O136" s="9"/>
      <c r="P136" s="9"/>
      <c r="Q136" s="9"/>
      <c r="R136" s="9"/>
      <c r="S136" s="9"/>
    </row>
    <row r="137" spans="12:19" x14ac:dyDescent="0.2">
      <c r="L137" s="9"/>
      <c r="M137" s="9"/>
      <c r="N137" s="9"/>
      <c r="O137" s="9"/>
      <c r="P137" s="9"/>
      <c r="Q137" s="9"/>
      <c r="R137" s="9"/>
      <c r="S137" s="9"/>
    </row>
    <row r="138" spans="12:19" x14ac:dyDescent="0.2">
      <c r="L138" s="9"/>
      <c r="M138" s="9"/>
      <c r="N138" s="9"/>
      <c r="O138" s="9"/>
      <c r="P138" s="9"/>
      <c r="Q138" s="9"/>
      <c r="R138" s="9"/>
      <c r="S138" s="9"/>
    </row>
    <row r="139" spans="12:19" x14ac:dyDescent="0.2">
      <c r="L139" s="9"/>
      <c r="M139" s="9"/>
      <c r="N139" s="9"/>
      <c r="O139" s="9"/>
      <c r="P139" s="9"/>
      <c r="Q139" s="9"/>
      <c r="R139" s="9"/>
      <c r="S139" s="9"/>
    </row>
    <row r="140" spans="12:19" x14ac:dyDescent="0.2">
      <c r="L140" s="9"/>
      <c r="M140" s="9"/>
      <c r="N140" s="9"/>
      <c r="O140" s="9"/>
      <c r="P140" s="9"/>
      <c r="Q140" s="9"/>
      <c r="R140" s="9"/>
      <c r="S140" s="9"/>
    </row>
    <row r="141" spans="12:19" x14ac:dyDescent="0.2">
      <c r="L141" s="9"/>
      <c r="M141" s="9"/>
      <c r="N141" s="9"/>
      <c r="O141" s="9"/>
      <c r="P141" s="9"/>
      <c r="Q141" s="9"/>
      <c r="R141" s="9"/>
      <c r="S141" s="9"/>
    </row>
    <row r="142" spans="12:19" x14ac:dyDescent="0.2">
      <c r="L142" s="9"/>
      <c r="M142" s="9"/>
      <c r="N142" s="9"/>
      <c r="O142" s="9"/>
      <c r="P142" s="9"/>
      <c r="Q142" s="9"/>
      <c r="R142" s="9"/>
      <c r="S142" s="9"/>
    </row>
    <row r="143" spans="12:19" x14ac:dyDescent="0.2">
      <c r="L143" s="9"/>
      <c r="M143" s="9"/>
      <c r="N143" s="9"/>
      <c r="O143" s="9"/>
      <c r="P143" s="9"/>
      <c r="Q143" s="9"/>
      <c r="R143" s="9"/>
      <c r="S143" s="9"/>
    </row>
    <row r="144" spans="12:19" x14ac:dyDescent="0.2">
      <c r="L144" s="9"/>
      <c r="M144" s="9"/>
      <c r="N144" s="9"/>
      <c r="O144" s="9"/>
      <c r="P144" s="9"/>
      <c r="Q144" s="9"/>
      <c r="R144" s="9"/>
      <c r="S144" s="9"/>
    </row>
    <row r="145" spans="12:19" x14ac:dyDescent="0.2">
      <c r="L145" s="9"/>
      <c r="M145" s="9"/>
      <c r="N145" s="9"/>
      <c r="O145" s="9"/>
      <c r="P145" s="9"/>
      <c r="Q145" s="9"/>
      <c r="R145" s="9"/>
      <c r="S145" s="9"/>
    </row>
    <row r="146" spans="12:19" x14ac:dyDescent="0.2">
      <c r="L146" s="9"/>
      <c r="M146" s="9"/>
      <c r="N146" s="9"/>
      <c r="O146" s="9"/>
      <c r="P146" s="9"/>
      <c r="Q146" s="9"/>
      <c r="R146" s="9"/>
      <c r="S146" s="9"/>
    </row>
    <row r="147" spans="12:19" x14ac:dyDescent="0.2">
      <c r="L147" s="9"/>
      <c r="M147" s="9"/>
      <c r="N147" s="9"/>
      <c r="O147" s="9"/>
      <c r="P147" s="9"/>
      <c r="Q147" s="9"/>
      <c r="R147" s="9"/>
      <c r="S147" s="9"/>
    </row>
    <row r="148" spans="12:19" x14ac:dyDescent="0.2">
      <c r="L148" s="9"/>
      <c r="M148" s="9"/>
      <c r="N148" s="9"/>
      <c r="O148" s="9"/>
      <c r="P148" s="9"/>
      <c r="Q148" s="9"/>
      <c r="R148" s="9"/>
      <c r="S148" s="9"/>
    </row>
    <row r="149" spans="12:19" x14ac:dyDescent="0.2">
      <c r="L149" s="9"/>
      <c r="M149" s="9"/>
      <c r="N149" s="9"/>
      <c r="O149" s="9"/>
      <c r="P149" s="9"/>
      <c r="Q149" s="9"/>
      <c r="R149" s="9"/>
      <c r="S149" s="9"/>
    </row>
    <row r="150" spans="12:19" x14ac:dyDescent="0.2">
      <c r="L150" s="9"/>
      <c r="M150" s="9"/>
      <c r="N150" s="9"/>
      <c r="O150" s="9"/>
      <c r="P150" s="9"/>
      <c r="Q150" s="9"/>
      <c r="R150" s="9"/>
      <c r="S150" s="9"/>
    </row>
    <row r="151" spans="12:19" x14ac:dyDescent="0.2">
      <c r="L151" s="9"/>
      <c r="M151" s="9"/>
      <c r="N151" s="9"/>
      <c r="O151" s="9"/>
      <c r="P151" s="9"/>
      <c r="Q151" s="9"/>
      <c r="R151" s="9"/>
      <c r="S151" s="9"/>
    </row>
    <row r="152" spans="12:19" x14ac:dyDescent="0.2">
      <c r="L152" s="9"/>
      <c r="M152" s="9"/>
      <c r="N152" s="9"/>
      <c r="O152" s="9"/>
      <c r="P152" s="9"/>
      <c r="Q152" s="9"/>
      <c r="R152" s="9"/>
      <c r="S152" s="9"/>
    </row>
    <row r="153" spans="12:19" x14ac:dyDescent="0.2">
      <c r="L153" s="9"/>
      <c r="M153" s="9"/>
      <c r="N153" s="9"/>
      <c r="O153" s="9"/>
      <c r="P153" s="9"/>
      <c r="Q153" s="9"/>
      <c r="R153" s="9"/>
      <c r="S153" s="9"/>
    </row>
    <row r="154" spans="12:19" x14ac:dyDescent="0.2">
      <c r="L154" s="9"/>
      <c r="M154" s="9"/>
      <c r="N154" s="9"/>
      <c r="O154" s="9"/>
      <c r="P154" s="9"/>
      <c r="Q154" s="9"/>
      <c r="R154" s="9"/>
      <c r="S154" s="9"/>
    </row>
    <row r="155" spans="12:19" x14ac:dyDescent="0.2">
      <c r="L155" s="9"/>
      <c r="M155" s="9"/>
      <c r="N155" s="9"/>
      <c r="O155" s="9"/>
      <c r="P155" s="9"/>
      <c r="Q155" s="9"/>
      <c r="R155" s="9"/>
      <c r="S155" s="9"/>
    </row>
    <row r="156" spans="12:19" x14ac:dyDescent="0.2">
      <c r="L156" s="9"/>
      <c r="M156" s="9"/>
      <c r="N156" s="9"/>
      <c r="O156" s="9"/>
      <c r="P156" s="9"/>
      <c r="Q156" s="9"/>
      <c r="R156" s="9"/>
      <c r="S156" s="9"/>
    </row>
    <row r="157" spans="12:19" x14ac:dyDescent="0.2">
      <c r="L157" s="9"/>
      <c r="M157" s="9"/>
      <c r="N157" s="9"/>
      <c r="O157" s="9"/>
      <c r="P157" s="9"/>
      <c r="Q157" s="9"/>
      <c r="R157" s="9"/>
      <c r="S157" s="9"/>
    </row>
    <row r="158" spans="12:19" x14ac:dyDescent="0.2">
      <c r="L158" s="9"/>
      <c r="M158" s="9"/>
      <c r="N158" s="9"/>
      <c r="O158" s="9"/>
      <c r="P158" s="9"/>
      <c r="Q158" s="9"/>
      <c r="R158" s="9"/>
      <c r="S158" s="9"/>
    </row>
    <row r="159" spans="12:19" x14ac:dyDescent="0.2">
      <c r="L159" s="9"/>
      <c r="M159" s="9"/>
      <c r="N159" s="9"/>
      <c r="O159" s="9"/>
      <c r="P159" s="9"/>
      <c r="Q159" s="9"/>
      <c r="R159" s="9"/>
      <c r="S159" s="9"/>
    </row>
    <row r="160" spans="12:19" x14ac:dyDescent="0.2">
      <c r="L160" s="9"/>
      <c r="M160" s="9"/>
      <c r="N160" s="9"/>
      <c r="O160" s="9"/>
      <c r="P160" s="9"/>
      <c r="Q160" s="9"/>
      <c r="R160" s="9"/>
      <c r="S160" s="9"/>
    </row>
    <row r="161" spans="12:19" x14ac:dyDescent="0.2">
      <c r="L161" s="9"/>
      <c r="M161" s="9"/>
      <c r="N161" s="9"/>
      <c r="O161" s="9"/>
      <c r="P161" s="9"/>
      <c r="Q161" s="9"/>
      <c r="R161" s="9"/>
      <c r="S161" s="9"/>
    </row>
    <row r="162" spans="12:19" x14ac:dyDescent="0.2">
      <c r="L162" s="9"/>
      <c r="M162" s="9"/>
      <c r="N162" s="9"/>
      <c r="O162" s="9"/>
      <c r="P162" s="9"/>
      <c r="Q162" s="9"/>
      <c r="R162" s="9"/>
      <c r="S162" s="9"/>
    </row>
    <row r="163" spans="12:19" x14ac:dyDescent="0.2">
      <c r="L163" s="9"/>
      <c r="M163" s="9"/>
      <c r="N163" s="9"/>
      <c r="O163" s="9"/>
      <c r="P163" s="9"/>
      <c r="Q163" s="9"/>
      <c r="R163" s="9"/>
      <c r="S163" s="9"/>
    </row>
    <row r="164" spans="12:19" x14ac:dyDescent="0.2">
      <c r="L164" s="9"/>
      <c r="M164" s="9"/>
      <c r="N164" s="9"/>
      <c r="O164" s="9"/>
      <c r="P164" s="9"/>
      <c r="Q164" s="9"/>
      <c r="R164" s="9"/>
      <c r="S164" s="9"/>
    </row>
    <row r="165" spans="12:19" x14ac:dyDescent="0.2">
      <c r="L165" s="9"/>
      <c r="M165" s="9"/>
      <c r="N165" s="9"/>
      <c r="O165" s="9"/>
      <c r="P165" s="9"/>
      <c r="Q165" s="9"/>
      <c r="R165" s="9"/>
      <c r="S165" s="9"/>
    </row>
    <row r="166" spans="12:19" x14ac:dyDescent="0.2">
      <c r="L166" s="9"/>
      <c r="M166" s="9"/>
      <c r="N166" s="9"/>
      <c r="O166" s="9"/>
      <c r="P166" s="9"/>
      <c r="Q166" s="9"/>
      <c r="R166" s="9"/>
      <c r="S166" s="9"/>
    </row>
    <row r="167" spans="12:19" x14ac:dyDescent="0.2">
      <c r="L167" s="9"/>
      <c r="M167" s="9"/>
      <c r="N167" s="9"/>
      <c r="O167" s="9"/>
      <c r="P167" s="9"/>
      <c r="Q167" s="9"/>
      <c r="R167" s="9"/>
      <c r="S167" s="9"/>
    </row>
    <row r="168" spans="12:19" x14ac:dyDescent="0.2">
      <c r="L168" s="9"/>
      <c r="M168" s="9"/>
      <c r="N168" s="9"/>
      <c r="O168" s="9"/>
      <c r="P168" s="9"/>
      <c r="Q168" s="9"/>
      <c r="R168" s="9"/>
      <c r="S168" s="9"/>
    </row>
    <row r="169" spans="12:19" x14ac:dyDescent="0.2">
      <c r="L169" s="9"/>
      <c r="M169" s="9"/>
      <c r="N169" s="9"/>
      <c r="O169" s="9"/>
      <c r="P169" s="9"/>
      <c r="Q169" s="9"/>
      <c r="R169" s="9"/>
      <c r="S169" s="9"/>
    </row>
    <row r="170" spans="12:19" x14ac:dyDescent="0.2">
      <c r="L170" s="9"/>
      <c r="M170" s="9"/>
      <c r="N170" s="9"/>
      <c r="O170" s="9"/>
      <c r="P170" s="9"/>
      <c r="Q170" s="9"/>
      <c r="R170" s="9"/>
      <c r="S170" s="9"/>
    </row>
    <row r="171" spans="12:19" x14ac:dyDescent="0.2">
      <c r="L171" s="9"/>
      <c r="M171" s="9"/>
      <c r="N171" s="9"/>
      <c r="O171" s="9"/>
      <c r="P171" s="9"/>
      <c r="Q171" s="9"/>
      <c r="R171" s="9"/>
      <c r="S171" s="9"/>
    </row>
    <row r="172" spans="12:19" x14ac:dyDescent="0.2">
      <c r="L172" s="9"/>
      <c r="M172" s="9"/>
      <c r="N172" s="9"/>
      <c r="O172" s="9"/>
      <c r="P172" s="9"/>
      <c r="Q172" s="9"/>
      <c r="R172" s="9"/>
      <c r="S172" s="9"/>
    </row>
    <row r="173" spans="12:19" x14ac:dyDescent="0.2">
      <c r="L173" s="9"/>
      <c r="M173" s="9"/>
      <c r="N173" s="9"/>
      <c r="O173" s="9"/>
      <c r="P173" s="9"/>
      <c r="Q173" s="9"/>
      <c r="R173" s="9"/>
      <c r="S173" s="9"/>
    </row>
    <row r="174" spans="12:19" x14ac:dyDescent="0.2">
      <c r="L174" s="9"/>
      <c r="M174" s="9"/>
      <c r="N174" s="9"/>
      <c r="O174" s="9"/>
      <c r="P174" s="9"/>
      <c r="Q174" s="9"/>
      <c r="R174" s="9"/>
      <c r="S174" s="9"/>
    </row>
    <row r="175" spans="12:19" x14ac:dyDescent="0.2">
      <c r="L175" s="9"/>
      <c r="M175" s="9"/>
      <c r="N175" s="9"/>
      <c r="O175" s="9"/>
      <c r="P175" s="9"/>
      <c r="Q175" s="9"/>
      <c r="R175" s="9"/>
      <c r="S175" s="9"/>
    </row>
    <row r="176" spans="12:19" x14ac:dyDescent="0.2">
      <c r="L176" s="9"/>
      <c r="M176" s="9"/>
      <c r="N176" s="9"/>
      <c r="O176" s="9"/>
      <c r="P176" s="9"/>
      <c r="Q176" s="9"/>
      <c r="R176" s="9"/>
      <c r="S176" s="9"/>
    </row>
    <row r="177" spans="12:19" x14ac:dyDescent="0.2">
      <c r="L177" s="9"/>
      <c r="M177" s="9"/>
      <c r="N177" s="9"/>
      <c r="O177" s="9"/>
      <c r="P177" s="9"/>
      <c r="Q177" s="9"/>
      <c r="R177" s="9"/>
      <c r="S177" s="9"/>
    </row>
    <row r="178" spans="12:19" x14ac:dyDescent="0.2">
      <c r="L178" s="9"/>
      <c r="M178" s="9"/>
      <c r="N178" s="9"/>
      <c r="O178" s="9"/>
      <c r="P178" s="9"/>
      <c r="Q178" s="9"/>
      <c r="R178" s="9"/>
      <c r="S178" s="9"/>
    </row>
    <row r="179" spans="12:19" x14ac:dyDescent="0.2">
      <c r="L179" s="9"/>
      <c r="M179" s="9"/>
      <c r="N179" s="9"/>
      <c r="O179" s="9"/>
      <c r="P179" s="9"/>
      <c r="Q179" s="9"/>
      <c r="R179" s="9"/>
      <c r="S179" s="9"/>
    </row>
    <row r="180" spans="12:19" x14ac:dyDescent="0.2">
      <c r="L180" s="9"/>
      <c r="M180" s="9"/>
      <c r="N180" s="9"/>
      <c r="O180" s="9"/>
      <c r="P180" s="9"/>
      <c r="Q180" s="9"/>
      <c r="R180" s="9"/>
      <c r="S180" s="9"/>
    </row>
    <row r="181" spans="12:19" x14ac:dyDescent="0.2">
      <c r="L181" s="9"/>
      <c r="M181" s="9"/>
      <c r="N181" s="9"/>
      <c r="O181" s="9"/>
      <c r="P181" s="9"/>
      <c r="Q181" s="9"/>
      <c r="R181" s="9"/>
      <c r="S181" s="9"/>
    </row>
    <row r="182" spans="12:19" x14ac:dyDescent="0.2">
      <c r="L182" s="9"/>
      <c r="M182" s="9"/>
      <c r="N182" s="9"/>
      <c r="O182" s="9"/>
      <c r="P182" s="9"/>
      <c r="Q182" s="9"/>
      <c r="R182" s="9"/>
      <c r="S182" s="9"/>
    </row>
    <row r="183" spans="12:19" x14ac:dyDescent="0.2">
      <c r="L183" s="9"/>
      <c r="M183" s="9"/>
      <c r="N183" s="9"/>
      <c r="O183" s="9"/>
      <c r="P183" s="9"/>
      <c r="Q183" s="9"/>
      <c r="R183" s="9"/>
      <c r="S183" s="9"/>
    </row>
    <row r="184" spans="12:19" x14ac:dyDescent="0.2">
      <c r="L184" s="9"/>
      <c r="M184" s="9"/>
      <c r="N184" s="9"/>
      <c r="O184" s="9"/>
      <c r="P184" s="9"/>
      <c r="Q184" s="9"/>
      <c r="R184" s="9"/>
      <c r="S184" s="9"/>
    </row>
    <row r="185" spans="12:19" x14ac:dyDescent="0.2">
      <c r="L185" s="9"/>
      <c r="M185" s="9"/>
      <c r="N185" s="9"/>
      <c r="O185" s="9"/>
      <c r="P185" s="9"/>
      <c r="Q185" s="9"/>
      <c r="R185" s="9"/>
      <c r="S185" s="9"/>
    </row>
    <row r="186" spans="12:19" x14ac:dyDescent="0.2">
      <c r="L186" s="9"/>
      <c r="M186" s="9"/>
      <c r="N186" s="9"/>
      <c r="O186" s="9"/>
      <c r="P186" s="9"/>
      <c r="Q186" s="9"/>
      <c r="R186" s="9"/>
      <c r="S186" s="9"/>
    </row>
    <row r="187" spans="12:19" x14ac:dyDescent="0.2">
      <c r="L187" s="9"/>
      <c r="M187" s="9"/>
      <c r="N187" s="9"/>
      <c r="O187" s="9"/>
      <c r="P187" s="9"/>
      <c r="Q187" s="9"/>
      <c r="R187" s="9"/>
      <c r="S187" s="9"/>
    </row>
    <row r="188" spans="12:19" x14ac:dyDescent="0.2">
      <c r="L188" s="9"/>
      <c r="M188" s="9"/>
      <c r="N188" s="9"/>
      <c r="O188" s="9"/>
      <c r="P188" s="9"/>
      <c r="Q188" s="9"/>
      <c r="R188" s="9"/>
      <c r="S188" s="9"/>
    </row>
    <row r="189" spans="12:19" x14ac:dyDescent="0.2">
      <c r="L189" s="9"/>
      <c r="M189" s="9"/>
      <c r="N189" s="9"/>
      <c r="O189" s="9"/>
      <c r="P189" s="9"/>
      <c r="Q189" s="9"/>
      <c r="R189" s="9"/>
      <c r="S189" s="9"/>
    </row>
    <row r="190" spans="12:19" x14ac:dyDescent="0.2">
      <c r="L190" s="9"/>
      <c r="M190" s="9"/>
      <c r="N190" s="9"/>
      <c r="O190" s="9"/>
      <c r="P190" s="9"/>
      <c r="Q190" s="9"/>
      <c r="R190" s="9"/>
      <c r="S190" s="9"/>
    </row>
    <row r="191" spans="12:19" x14ac:dyDescent="0.2">
      <c r="L191" s="9"/>
      <c r="M191" s="9"/>
      <c r="N191" s="9"/>
      <c r="O191" s="9"/>
      <c r="P191" s="9"/>
      <c r="Q191" s="9"/>
      <c r="R191" s="9"/>
      <c r="S191" s="9"/>
    </row>
    <row r="192" spans="12:19" x14ac:dyDescent="0.2">
      <c r="L192" s="9"/>
      <c r="M192" s="9"/>
      <c r="N192" s="9"/>
      <c r="O192" s="9"/>
      <c r="P192" s="9"/>
      <c r="Q192" s="9"/>
      <c r="R192" s="9"/>
      <c r="S192" s="9"/>
    </row>
    <row r="193" spans="1:32" x14ac:dyDescent="0.2">
      <c r="L193" s="9"/>
      <c r="M193" s="9"/>
      <c r="N193" s="9"/>
      <c r="O193" s="9"/>
      <c r="P193" s="9"/>
      <c r="Q193" s="9"/>
      <c r="R193" s="9"/>
      <c r="S193" s="9"/>
    </row>
    <row r="194" spans="1:32" x14ac:dyDescent="0.2">
      <c r="L194" s="9"/>
      <c r="M194" s="9"/>
      <c r="N194" s="9"/>
      <c r="O194" s="9"/>
      <c r="P194" s="9"/>
      <c r="Q194" s="9"/>
      <c r="R194" s="9"/>
      <c r="S194" s="9"/>
    </row>
    <row r="204" spans="1:32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 t="s">
        <v>9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:32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 t="s">
        <v>10</v>
      </c>
      <c r="N205" s="18"/>
      <c r="O205" s="18" t="s">
        <v>13</v>
      </c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:32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 t="s">
        <v>11</v>
      </c>
      <c r="N206" s="18" t="s">
        <v>12</v>
      </c>
      <c r="O206" s="18" t="s">
        <v>11</v>
      </c>
      <c r="P206" s="18" t="s">
        <v>14</v>
      </c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:32" x14ac:dyDescent="0.2">
      <c r="A207" s="19" t="s">
        <v>0</v>
      </c>
      <c r="B207" s="19"/>
      <c r="C207" s="19" t="s">
        <v>1</v>
      </c>
      <c r="D207" s="18" t="s">
        <v>17</v>
      </c>
      <c r="E207" s="20" t="s">
        <v>15</v>
      </c>
      <c r="F207" s="19" t="s">
        <v>2</v>
      </c>
      <c r="G207" s="19" t="s">
        <v>3</v>
      </c>
      <c r="H207" s="19"/>
      <c r="I207" s="19" t="s">
        <v>6</v>
      </c>
      <c r="J207" s="19" t="s">
        <v>7</v>
      </c>
      <c r="K207" s="19" t="s">
        <v>8</v>
      </c>
      <c r="L207" s="21">
        <f>J210</f>
        <v>-147.49717529278936</v>
      </c>
      <c r="M207" s="21">
        <f>IF(J$210&lt;=0,L207+ABS($J$210),0)</f>
        <v>0</v>
      </c>
      <c r="N207" s="21">
        <f t="shared" ref="N207:N227" si="0" xml:space="preserve"> (E$212-A$210)/(C$210)*M207+A$210</f>
        <v>27</v>
      </c>
      <c r="O207" s="21">
        <f t="shared" ref="O207" si="1">M207</f>
        <v>0</v>
      </c>
      <c r="P207" s="21">
        <f t="shared" ref="P207:P227" si="2" xml:space="preserve"> F$210/C$210*(L207-J$210)+I$210/(9.81*H$210)*(COSH(9.81*H$210/I$210*ABS(J$210))-COSH(9.81*H$210/I$210*(L207)))</f>
        <v>0</v>
      </c>
      <c r="Q207" s="21">
        <f>N207-P207</f>
        <v>27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:32" x14ac:dyDescent="0.2">
      <c r="A208" s="18"/>
      <c r="B208" s="18"/>
      <c r="C208" s="18"/>
      <c r="D208" s="18"/>
      <c r="E208" s="18"/>
      <c r="F208" s="19"/>
      <c r="G208" s="19" t="s">
        <v>4</v>
      </c>
      <c r="H208" s="19" t="s">
        <v>5</v>
      </c>
      <c r="I208" s="19"/>
      <c r="J208" s="19"/>
      <c r="K208" s="19"/>
      <c r="L208" s="21">
        <f t="shared" ref="L208:L227" si="3">L207+0.05*$C$210</f>
        <v>-132.74717529278936</v>
      </c>
      <c r="M208" s="21">
        <f>IF(J$210&lt;=0,L208+ABS($J$210),0.05*C$210)</f>
        <v>14.75</v>
      </c>
      <c r="N208" s="21">
        <f t="shared" si="0"/>
        <v>27</v>
      </c>
      <c r="O208" s="21">
        <f>M208</f>
        <v>14.75</v>
      </c>
      <c r="P208" s="21">
        <f t="shared" si="2"/>
        <v>1.8555104413813392</v>
      </c>
      <c r="Q208" s="21">
        <f t="shared" ref="Q208:Q227" si="4">N208-P208</f>
        <v>25.144489558618659</v>
      </c>
      <c r="R208" s="18"/>
      <c r="S208" s="18"/>
      <c r="T208" s="18">
        <f>COSH(10)</f>
        <v>11013.232920103324</v>
      </c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:32" x14ac:dyDescent="0.2">
      <c r="A209" s="19" t="str">
        <f>IF(A211=1,"110-kV-Mast",IF(A211=2,"220-kV-Mast","380-kV-Mast"))</f>
        <v>380-kV-Mast</v>
      </c>
      <c r="B209" s="19"/>
      <c r="C209" s="19"/>
      <c r="D209" s="19"/>
      <c r="E209" s="19" t="str">
        <f>IF(E211=1,"Aluminium-Stahl-Leiter","Aluminium-Leiter")</f>
        <v>Aluminium-Stahl-Leiter</v>
      </c>
      <c r="F209" s="19"/>
      <c r="G209" s="19"/>
      <c r="H209" s="19"/>
      <c r="I209" s="19">
        <v>14000</v>
      </c>
      <c r="J209" s="19"/>
      <c r="K209" s="19">
        <f xml:space="preserve"> SQRT( F210*F210 + (2* I209/(9.81*H210) * SINH( 9.81*H210*C210/(2*I209)))^2)</f>
        <v>295.80172320694112</v>
      </c>
      <c r="L209" s="21">
        <f t="shared" si="3"/>
        <v>-117.99717529278936</v>
      </c>
      <c r="M209" s="21">
        <f>IF(J$210&lt;=0,L209+ABS($J$210),0.1*C$210)</f>
        <v>29.5</v>
      </c>
      <c r="N209" s="21">
        <f t="shared" si="0"/>
        <v>27</v>
      </c>
      <c r="O209" s="21">
        <f t="shared" ref="O209:O227" si="5">M209</f>
        <v>29.5</v>
      </c>
      <c r="P209" s="21">
        <f t="shared" si="2"/>
        <v>3.51483234545326</v>
      </c>
      <c r="Q209" s="21">
        <f t="shared" si="4"/>
        <v>23.485167654546739</v>
      </c>
      <c r="R209" s="18"/>
      <c r="S209" s="18"/>
      <c r="T209" s="18">
        <f>COSH(-10)</f>
        <v>11013.232920103324</v>
      </c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:32" x14ac:dyDescent="0.2">
      <c r="A210" s="19">
        <f>IF(A211=1,18,IF(A211=2,22,27))</f>
        <v>27</v>
      </c>
      <c r="B210" s="19">
        <f>A210</f>
        <v>27</v>
      </c>
      <c r="C210" s="19">
        <v>295</v>
      </c>
      <c r="D210" s="19">
        <f>IF(A221=1,D211,0)</f>
        <v>0</v>
      </c>
      <c r="E210" s="19">
        <f>IF(E211=1,18.9*10^-6,23*10^-6)</f>
        <v>1.8899999999999999E-5</v>
      </c>
      <c r="F210" s="19">
        <f>ABS(A210-E212)</f>
        <v>0</v>
      </c>
      <c r="G210" s="19"/>
      <c r="H210" s="19">
        <v>1.2350000000000001</v>
      </c>
      <c r="I210" s="19">
        <f>IF(D210=0,SQRT(C210^3*(H210*9.81)^2/(24*(K210-C210))),14000)</f>
        <v>13530.487787943193</v>
      </c>
      <c r="J210" s="19">
        <f xml:space="preserve"> (I210/(H210*9.81))*LN((I210/(H210*9.81)) * (1 - EXP(- H210/I210*9.81 *C210)) / ( K210 - F210) )</f>
        <v>-147.49717529278936</v>
      </c>
      <c r="K210" s="19">
        <f>K209*(1+E210*(A217-B217))</f>
        <v>295.85762973262723</v>
      </c>
      <c r="L210" s="21">
        <f t="shared" si="3"/>
        <v>-103.24717529278936</v>
      </c>
      <c r="M210" s="21">
        <f>IF(J$210&lt;=0,L210+ABS($J$210),0.15*C$210)</f>
        <v>44.25</v>
      </c>
      <c r="N210" s="21">
        <f t="shared" si="0"/>
        <v>27</v>
      </c>
      <c r="O210" s="21">
        <f t="shared" si="5"/>
        <v>44.25</v>
      </c>
      <c r="P210" s="21">
        <f t="shared" si="2"/>
        <v>4.9782551571962568</v>
      </c>
      <c r="Q210" s="21">
        <f t="shared" si="4"/>
        <v>22.021744842803741</v>
      </c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:32" x14ac:dyDescent="0.2">
      <c r="A211" s="18">
        <v>3</v>
      </c>
      <c r="B211" s="18"/>
      <c r="C211" s="18"/>
      <c r="D211" s="18">
        <v>0</v>
      </c>
      <c r="E211" s="18">
        <v>1</v>
      </c>
      <c r="F211" s="18"/>
      <c r="G211" s="18"/>
      <c r="H211" s="18"/>
      <c r="I211" s="18">
        <f>SQRT(C210^3*(H210*9.81)^2/(24*(K210-C210)))</f>
        <v>13530.487787943193</v>
      </c>
      <c r="J211" s="18"/>
      <c r="K211" s="18"/>
      <c r="L211" s="21">
        <f t="shared" si="3"/>
        <v>-88.497175292789365</v>
      </c>
      <c r="M211" s="21">
        <f>IF(J$210&lt;=0,L211+ABS($J$210),0.2*C$210)</f>
        <v>59</v>
      </c>
      <c r="N211" s="21">
        <f t="shared" si="0"/>
        <v>27</v>
      </c>
      <c r="O211" s="21">
        <f t="shared" si="5"/>
        <v>59</v>
      </c>
      <c r="P211" s="21">
        <f t="shared" si="2"/>
        <v>6.246034149795098</v>
      </c>
      <c r="Q211" s="21">
        <f t="shared" si="4"/>
        <v>20.753965850204903</v>
      </c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:32" x14ac:dyDescent="0.2">
      <c r="A212" s="18"/>
      <c r="B212" s="18"/>
      <c r="C212" s="18"/>
      <c r="D212" s="18"/>
      <c r="E212" s="19">
        <f>B210+D210</f>
        <v>27</v>
      </c>
      <c r="F212" s="18"/>
      <c r="G212" s="18"/>
      <c r="H212" s="18"/>
      <c r="I212" s="18"/>
      <c r="J212" s="18"/>
      <c r="K212" s="18"/>
      <c r="L212" s="21">
        <f t="shared" si="3"/>
        <v>-73.747175292789365</v>
      </c>
      <c r="M212" s="21">
        <f>IF(J$210&lt;=0,L212+ABS($J$210),0.25*C$210)</f>
        <v>73.75</v>
      </c>
      <c r="N212" s="21">
        <f t="shared" si="0"/>
        <v>27</v>
      </c>
      <c r="O212" s="21">
        <f t="shared" si="5"/>
        <v>73.75</v>
      </c>
      <c r="P212" s="21">
        <f t="shared" si="2"/>
        <v>7.3183904691674604</v>
      </c>
      <c r="Q212" s="21">
        <f t="shared" si="4"/>
        <v>19.681609530832539</v>
      </c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:32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21">
        <f t="shared" si="3"/>
        <v>-58.997175292789365</v>
      </c>
      <c r="M213" s="21">
        <f>IF(J$210&lt;=0,L213+ABS($J$210),0.3*C$210)</f>
        <v>88.5</v>
      </c>
      <c r="N213" s="21">
        <f t="shared" si="0"/>
        <v>27</v>
      </c>
      <c r="O213" s="21">
        <f t="shared" si="5"/>
        <v>88.5</v>
      </c>
      <c r="P213" s="21">
        <f t="shared" si="2"/>
        <v>8.1955111725410372</v>
      </c>
      <c r="Q213" s="21">
        <f t="shared" si="4"/>
        <v>18.804488827458961</v>
      </c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:32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21">
        <f t="shared" si="3"/>
        <v>-44.247175292789365</v>
      </c>
      <c r="M214" s="21">
        <f>IF(J$210&lt;=0,L214+ABS($J$210),0.35*C$210)</f>
        <v>103.25</v>
      </c>
      <c r="N214" s="21">
        <f t="shared" si="0"/>
        <v>27</v>
      </c>
      <c r="O214" s="21">
        <f t="shared" si="5"/>
        <v>103.25</v>
      </c>
      <c r="P214" s="21">
        <f t="shared" si="2"/>
        <v>8.8775492610803397</v>
      </c>
      <c r="Q214" s="21">
        <f t="shared" si="4"/>
        <v>18.12245073891966</v>
      </c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:32" x14ac:dyDescent="0.2">
      <c r="A215" s="18">
        <v>0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21">
        <f t="shared" si="3"/>
        <v>-29.497175292789365</v>
      </c>
      <c r="M215" s="21">
        <f>IF(J$210&lt;=0,L215+ABS($J$210),0.4*C$210)</f>
        <v>118</v>
      </c>
      <c r="N215" s="21">
        <f t="shared" si="0"/>
        <v>27</v>
      </c>
      <c r="O215" s="21">
        <f t="shared" si="5"/>
        <v>118</v>
      </c>
      <c r="P215" s="21">
        <f t="shared" si="2"/>
        <v>9.3646237065778486</v>
      </c>
      <c r="Q215" s="21">
        <f t="shared" si="4"/>
        <v>17.635376293422151</v>
      </c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:32" x14ac:dyDescent="0.2">
      <c r="A216" s="18" t="s">
        <v>16</v>
      </c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21">
        <f t="shared" si="3"/>
        <v>-14.747175292789365</v>
      </c>
      <c r="M216" s="21">
        <f>IF(J$210&lt;=0,L216+ABS($J$210),0.45*C$210)</f>
        <v>132.75</v>
      </c>
      <c r="N216" s="21">
        <f t="shared" si="0"/>
        <v>27</v>
      </c>
      <c r="O216" s="21">
        <f t="shared" si="5"/>
        <v>132.75</v>
      </c>
      <c r="P216" s="21">
        <f t="shared" si="2"/>
        <v>9.6568194722067577</v>
      </c>
      <c r="Q216" s="21">
        <f t="shared" si="4"/>
        <v>17.343180527793244</v>
      </c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:32" x14ac:dyDescent="0.2">
      <c r="A217" s="18">
        <f>IF(A221=2,A218,20)</f>
        <v>30</v>
      </c>
      <c r="B217" s="18">
        <v>20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21">
        <f t="shared" si="3"/>
        <v>2.8247072106353244E-3</v>
      </c>
      <c r="M217" s="21">
        <f>IF(J$210&lt;=0,L217+ABS($J$210),0.5*C$210)</f>
        <v>147.5</v>
      </c>
      <c r="N217" s="21">
        <f t="shared" si="0"/>
        <v>27</v>
      </c>
      <c r="O217" s="21">
        <f t="shared" si="5"/>
        <v>147.5</v>
      </c>
      <c r="P217" s="21">
        <f t="shared" si="2"/>
        <v>9.7541875273398126</v>
      </c>
      <c r="Q217" s="21">
        <f t="shared" si="4"/>
        <v>17.245812472660187</v>
      </c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:32" x14ac:dyDescent="0.2">
      <c r="A218" s="18">
        <v>30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21">
        <f t="shared" si="3"/>
        <v>14.752824707210635</v>
      </c>
      <c r="M218" s="21">
        <f>IF(J$210&lt;=0,L218+ABS($J$210),0.55*C$210)</f>
        <v>162.25</v>
      </c>
      <c r="N218" s="21">
        <f t="shared" si="0"/>
        <v>27</v>
      </c>
      <c r="O218" s="21">
        <f t="shared" si="5"/>
        <v>162.25</v>
      </c>
      <c r="P218" s="21">
        <f t="shared" si="2"/>
        <v>9.6567448564426233</v>
      </c>
      <c r="Q218" s="21">
        <f t="shared" si="4"/>
        <v>17.343255143557379</v>
      </c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:32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21">
        <f t="shared" si="3"/>
        <v>29.502824707210635</v>
      </c>
      <c r="M219" s="21">
        <f>IF(J$210&lt;=0,L219+ABS($J$210),0.6*C$210)</f>
        <v>177</v>
      </c>
      <c r="N219" s="21">
        <f t="shared" si="0"/>
        <v>27</v>
      </c>
      <c r="O219" s="21">
        <f t="shared" si="5"/>
        <v>177</v>
      </c>
      <c r="P219" s="21">
        <f t="shared" si="2"/>
        <v>9.3644744620340656</v>
      </c>
      <c r="Q219" s="21">
        <f t="shared" si="4"/>
        <v>17.635525537965933</v>
      </c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:32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21">
        <f t="shared" si="3"/>
        <v>44.252824707210635</v>
      </c>
      <c r="M220" s="21">
        <f>IF(J$210&lt;=0,L220+ABS($J$210),0.65*C$210)</f>
        <v>191.75</v>
      </c>
      <c r="N220" s="21">
        <f t="shared" si="0"/>
        <v>27</v>
      </c>
      <c r="O220" s="21">
        <f t="shared" si="5"/>
        <v>191.75</v>
      </c>
      <c r="P220" s="21">
        <f t="shared" si="2"/>
        <v>8.8773253617226686</v>
      </c>
      <c r="Q220" s="21">
        <f t="shared" si="4"/>
        <v>18.122674638277331</v>
      </c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:32" x14ac:dyDescent="0.2">
      <c r="A221" s="22">
        <v>2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21">
        <f t="shared" si="3"/>
        <v>59.002824707210635</v>
      </c>
      <c r="M221" s="21">
        <f>IF(J$210&lt;=0,L221+ABS($J$210),0.7*C$210)</f>
        <v>206.5</v>
      </c>
      <c r="N221" s="21">
        <f t="shared" si="0"/>
        <v>27</v>
      </c>
      <c r="O221" s="21">
        <f t="shared" si="5"/>
        <v>206.5</v>
      </c>
      <c r="P221" s="21">
        <f t="shared" si="2"/>
        <v>8.19521257931377</v>
      </c>
      <c r="Q221" s="21">
        <f t="shared" si="4"/>
        <v>18.804787420686232</v>
      </c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:32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21">
        <f t="shared" si="3"/>
        <v>73.752824707210635</v>
      </c>
      <c r="M222" s="21">
        <f>IF(J$210&lt;=0,L222+ABS($J$210),0.75*C$210)</f>
        <v>221.25</v>
      </c>
      <c r="N222" s="21">
        <f t="shared" si="0"/>
        <v>27</v>
      </c>
      <c r="O222" s="21">
        <f t="shared" si="5"/>
        <v>221.25</v>
      </c>
      <c r="P222" s="21">
        <f t="shared" si="2"/>
        <v>7.3180171299854964</v>
      </c>
      <c r="Q222" s="21">
        <f t="shared" si="4"/>
        <v>19.681982870014505</v>
      </c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:32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21">
        <f t="shared" si="3"/>
        <v>88.502824707210635</v>
      </c>
      <c r="M223" s="21">
        <f>IF(J$210&lt;=0,L223+ABS($J$210),0.8*C$210)</f>
        <v>236</v>
      </c>
      <c r="N223" s="21">
        <f t="shared" si="0"/>
        <v>27</v>
      </c>
      <c r="O223" s="21">
        <f t="shared" si="5"/>
        <v>236</v>
      </c>
      <c r="P223" s="21">
        <f t="shared" si="2"/>
        <v>6.2455859995345131</v>
      </c>
      <c r="Q223" s="21">
        <f t="shared" si="4"/>
        <v>20.754414000465488</v>
      </c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:32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21">
        <f t="shared" si="3"/>
        <v>103.25282470721064</v>
      </c>
      <c r="M224" s="21">
        <f>IF(J$210&lt;=0,L224+ABS($J$210),0.85*C$210)</f>
        <v>250.75</v>
      </c>
      <c r="N224" s="21">
        <f t="shared" si="0"/>
        <v>27</v>
      </c>
      <c r="O224" s="21">
        <f t="shared" si="5"/>
        <v>250.75</v>
      </c>
      <c r="P224" s="21">
        <f t="shared" si="2"/>
        <v>4.9777321176836473</v>
      </c>
      <c r="Q224" s="21">
        <f t="shared" si="4"/>
        <v>22.022267882316353</v>
      </c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:32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21">
        <f t="shared" si="3"/>
        <v>118.00282470721064</v>
      </c>
      <c r="M225" s="21">
        <f>IF(J$210&lt;=0,L225+ABS($J$210),0.9*C$210)</f>
        <v>265.5</v>
      </c>
      <c r="N225" s="21">
        <f t="shared" si="0"/>
        <v>27</v>
      </c>
      <c r="O225" s="21">
        <f t="shared" si="5"/>
        <v>265.5</v>
      </c>
      <c r="P225" s="21">
        <f t="shared" si="2"/>
        <v>3.5142343254518491</v>
      </c>
      <c r="Q225" s="21">
        <f t="shared" si="4"/>
        <v>23.485765674548151</v>
      </c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:32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21">
        <f t="shared" si="3"/>
        <v>132.75282470721064</v>
      </c>
      <c r="M226" s="21">
        <f>IF(J$210&lt;=0,L226+ABS($J$210),0.95*C$210)</f>
        <v>280.25</v>
      </c>
      <c r="N226" s="21">
        <f t="shared" si="0"/>
        <v>27</v>
      </c>
      <c r="O226" s="21">
        <f t="shared" si="5"/>
        <v>280.25</v>
      </c>
      <c r="P226" s="21">
        <f t="shared" si="2"/>
        <v>1.8548373365753577</v>
      </c>
      <c r="Q226" s="21">
        <f t="shared" si="4"/>
        <v>25.145162663424642</v>
      </c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:32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21">
        <f t="shared" si="3"/>
        <v>147.50282470721064</v>
      </c>
      <c r="M227" s="21">
        <f>IF(J$210&lt;=0,L227+ABS($J$210),C$210)</f>
        <v>295</v>
      </c>
      <c r="N227" s="21">
        <f t="shared" si="0"/>
        <v>27</v>
      </c>
      <c r="O227" s="21">
        <f t="shared" si="5"/>
        <v>295</v>
      </c>
      <c r="P227" s="21">
        <f t="shared" si="2"/>
        <v>-7.4830702416059662E-4</v>
      </c>
      <c r="Q227" s="21">
        <f t="shared" si="4"/>
        <v>27.000748307024161</v>
      </c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spans="1:32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 t="s">
        <v>9</v>
      </c>
      <c r="U228" s="18"/>
      <c r="V228" s="18"/>
      <c r="W228" s="18"/>
      <c r="X228" s="18"/>
      <c r="Y228" s="18"/>
      <c r="Z228" s="18"/>
      <c r="AA228" s="18" t="s">
        <v>22</v>
      </c>
      <c r="AB228" s="18"/>
      <c r="AC228" s="18" t="s">
        <v>23</v>
      </c>
      <c r="AD228" s="18"/>
      <c r="AE228" s="18"/>
      <c r="AF228" s="18"/>
    </row>
    <row r="229" spans="1:32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 t="s">
        <v>18</v>
      </c>
      <c r="M229" s="18" t="s">
        <v>11</v>
      </c>
      <c r="N229" s="18"/>
      <c r="O229" s="18"/>
      <c r="P229" s="18"/>
      <c r="Q229" s="18" t="s">
        <v>12</v>
      </c>
      <c r="R229" s="18"/>
      <c r="S229" s="18"/>
      <c r="T229" s="18"/>
      <c r="U229" s="18" t="s">
        <v>20</v>
      </c>
      <c r="V229" s="18" t="s">
        <v>19</v>
      </c>
      <c r="W229" s="18" t="s">
        <v>21</v>
      </c>
      <c r="X229" s="18"/>
      <c r="Y229" s="18"/>
      <c r="Z229" s="18"/>
      <c r="AA229" s="18" t="s">
        <v>12</v>
      </c>
      <c r="AB229" s="18" t="s">
        <v>11</v>
      </c>
      <c r="AC229" s="18" t="s">
        <v>26</v>
      </c>
      <c r="AD229" s="18" t="s">
        <v>11</v>
      </c>
      <c r="AE229" s="18" t="s">
        <v>25</v>
      </c>
      <c r="AF229" s="18" t="s">
        <v>24</v>
      </c>
    </row>
    <row r="230" spans="1:32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21">
        <f>-(C210-ABS(J210))</f>
        <v>-147.50282470721064</v>
      </c>
      <c r="M230" s="21">
        <f t="shared" ref="M230:M270" si="6">L230+ABS(J$210)</f>
        <v>-5.6494144212706487E-3</v>
      </c>
      <c r="N230" s="21">
        <f t="shared" ref="N230:N270" si="7">IF(A$210&gt;E$212,A$210,E$212)</f>
        <v>27</v>
      </c>
      <c r="O230" s="21"/>
      <c r="P230" s="21">
        <f t="shared" ref="P230:P270" si="8">I$209/(9.81*H$210)*(COSH(9.81*H$210/I$209*ABS(J$210))-COSH(9.81*H$210/I$209*(L230)))+F$210</f>
        <v>-7.2307287101021182E-4</v>
      </c>
      <c r="Q230" s="21">
        <f>N230-P230</f>
        <v>27.000723072871011</v>
      </c>
      <c r="R230" s="21"/>
      <c r="S230" s="21">
        <f>J210</f>
        <v>-147.49717529278936</v>
      </c>
      <c r="T230" s="21">
        <f>IF(J$210&lt;=0,S230+ABS($J$210),0)</f>
        <v>0</v>
      </c>
      <c r="U230" s="21">
        <f t="shared" ref="U230:U270" si="9" xml:space="preserve"> (E$212-A$210)/(C$210)*T230+A$210</f>
        <v>27</v>
      </c>
      <c r="V230" s="21">
        <f t="shared" ref="V230:V270" si="10" xml:space="preserve"> F$210/C$210*(S230-J$210)+I$210/(9.81*H$210)*(COSH(9.81*H$210/I$210*ABS(J$210))-COSH(9.81*H$210/I$210*(S230)))</f>
        <v>0</v>
      </c>
      <c r="W230" s="21">
        <f>U230-V230</f>
        <v>27</v>
      </c>
      <c r="X230" s="21"/>
      <c r="Y230" s="23">
        <v>0</v>
      </c>
      <c r="Z230" s="18"/>
      <c r="AA230" s="21">
        <f>W230</f>
        <v>27</v>
      </c>
      <c r="AB230" s="21">
        <f>T230</f>
        <v>0</v>
      </c>
      <c r="AC230" s="21">
        <f>V230</f>
        <v>0</v>
      </c>
      <c r="AD230" s="21">
        <f>T230</f>
        <v>0</v>
      </c>
      <c r="AE230" s="21">
        <f>U230</f>
        <v>27</v>
      </c>
      <c r="AF230" s="21">
        <f>W230</f>
        <v>27</v>
      </c>
    </row>
    <row r="231" spans="1:32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21">
        <f>-(C$210-ABS(J$210))+0.05*(C$210-ABS(J$210))</f>
        <v>-140.1276834718501</v>
      </c>
      <c r="M231" s="21">
        <f t="shared" si="6"/>
        <v>7.3694918209392597</v>
      </c>
      <c r="N231" s="21">
        <f t="shared" si="7"/>
        <v>27</v>
      </c>
      <c r="O231" s="21"/>
      <c r="P231" s="21">
        <f t="shared" si="8"/>
        <v>0.91952415942643995</v>
      </c>
      <c r="Q231" s="21">
        <f t="shared" ref="Q231:Q270" si="11">N231-P231</f>
        <v>26.080475840573559</v>
      </c>
      <c r="R231" s="21"/>
      <c r="S231" s="21">
        <f t="shared" ref="S231:S270" si="12">S230+0.025*$C$210</f>
        <v>-140.12217529278936</v>
      </c>
      <c r="T231" s="21">
        <f t="shared" ref="T231:T270" si="13">IF(J$210&lt;=0,S231+ABS($J$210),Y231*C$210)</f>
        <v>7.375</v>
      </c>
      <c r="U231" s="21">
        <f t="shared" si="9"/>
        <v>27</v>
      </c>
      <c r="V231" s="21">
        <f t="shared" si="10"/>
        <v>0.95229821434110584</v>
      </c>
      <c r="W231" s="21">
        <f t="shared" ref="W231:W270" si="14">U231-V231</f>
        <v>26.047701785658894</v>
      </c>
      <c r="X231" s="21"/>
      <c r="Y231" s="23">
        <v>2.5000000000000001E-2</v>
      </c>
      <c r="Z231" s="18"/>
      <c r="AA231" s="18">
        <f>IF(W231&lt;AA230,W231,AA230)</f>
        <v>26.047701785658894</v>
      </c>
      <c r="AB231" s="18">
        <f>IF(W231&lt;AA230,T231,AB230)</f>
        <v>7.375</v>
      </c>
      <c r="AC231" s="18">
        <f>IF(V231&lt;AC230,AC230,V231)</f>
        <v>0.95229821434110584</v>
      </c>
      <c r="AD231" s="18">
        <f>IF(V231&lt;AC230,AD230,T231)</f>
        <v>7.375</v>
      </c>
      <c r="AE231" s="18">
        <f>IF(V231&lt;AC230,AE230,U231)</f>
        <v>27</v>
      </c>
      <c r="AF231" s="18">
        <f>IF(V231&lt;AC230,AF230,W231)</f>
        <v>26.047701785658894</v>
      </c>
    </row>
    <row r="232" spans="1:32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21">
        <f>-(C$210-ABS(J$210))+0.1*(C$210-ABS(J$210))</f>
        <v>-132.75254223648957</v>
      </c>
      <c r="M232" s="21">
        <f t="shared" si="6"/>
        <v>14.74463305629979</v>
      </c>
      <c r="N232" s="21">
        <f t="shared" si="7"/>
        <v>27</v>
      </c>
      <c r="O232" s="21"/>
      <c r="P232" s="21">
        <f t="shared" si="8"/>
        <v>1.7923542433802508</v>
      </c>
      <c r="Q232" s="21">
        <f t="shared" si="11"/>
        <v>25.207645756619748</v>
      </c>
      <c r="R232" s="21"/>
      <c r="S232" s="21">
        <f t="shared" si="12"/>
        <v>-132.74717529278936</v>
      </c>
      <c r="T232" s="21">
        <f t="shared" si="13"/>
        <v>14.75</v>
      </c>
      <c r="U232" s="21">
        <f t="shared" si="9"/>
        <v>27</v>
      </c>
      <c r="V232" s="21">
        <f t="shared" si="10"/>
        <v>1.8555104413813392</v>
      </c>
      <c r="W232" s="21">
        <f t="shared" si="14"/>
        <v>25.144489558618659</v>
      </c>
      <c r="X232" s="21"/>
      <c r="Y232" s="23">
        <v>0.05</v>
      </c>
      <c r="Z232" s="18"/>
      <c r="AA232" s="18">
        <f t="shared" ref="AA232:AA270" si="15">IF(W232&lt;AA231,W232,AA231)</f>
        <v>25.144489558618659</v>
      </c>
      <c r="AB232" s="18">
        <f t="shared" ref="AB232:AB270" si="16">IF(W232&lt;AA231,T232,AB231)</f>
        <v>14.75</v>
      </c>
      <c r="AC232" s="18">
        <f t="shared" ref="AC232:AC270" si="17">IF(V232&lt;AC231,AC231,V232)</f>
        <v>1.8555104413813392</v>
      </c>
      <c r="AD232" s="18">
        <f t="shared" ref="AD232:AD270" si="18">IF(V232&lt;AC231,AD231,T232)</f>
        <v>14.75</v>
      </c>
      <c r="AE232" s="18">
        <f t="shared" ref="AE232:AE270" si="19">IF(V232&lt;AC231,AE231,U232)</f>
        <v>27</v>
      </c>
      <c r="AF232" s="18">
        <f t="shared" ref="AF232:AF270" si="20">IF(V232&lt;AC231,AF231,W232)</f>
        <v>25.144489558618659</v>
      </c>
    </row>
    <row r="233" spans="1:32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21">
        <f>-(C$210-ABS(J$210))+0.15*(C$210-ABS(J$210))</f>
        <v>-125.37740100112904</v>
      </c>
      <c r="M233" s="21">
        <f t="shared" si="6"/>
        <v>22.11977429166032</v>
      </c>
      <c r="N233" s="21">
        <f t="shared" si="7"/>
        <v>27</v>
      </c>
      <c r="O233" s="21"/>
      <c r="P233" s="21">
        <f t="shared" si="8"/>
        <v>2.6178027329294102</v>
      </c>
      <c r="Q233" s="21">
        <f t="shared" si="11"/>
        <v>24.382197267070591</v>
      </c>
      <c r="R233" s="21"/>
      <c r="S233" s="21">
        <f t="shared" si="12"/>
        <v>-125.37217529278936</v>
      </c>
      <c r="T233" s="21">
        <f t="shared" si="13"/>
        <v>22.125</v>
      </c>
      <c r="U233" s="21">
        <f t="shared" si="9"/>
        <v>27</v>
      </c>
      <c r="V233" s="21">
        <f t="shared" si="10"/>
        <v>2.7096760688058059</v>
      </c>
      <c r="W233" s="21">
        <f t="shared" si="14"/>
        <v>24.290323931194195</v>
      </c>
      <c r="X233" s="21"/>
      <c r="Y233" s="23">
        <v>7.4999999999999997E-2</v>
      </c>
      <c r="Z233" s="18"/>
      <c r="AA233" s="18">
        <f t="shared" si="15"/>
        <v>24.290323931194195</v>
      </c>
      <c r="AB233" s="18">
        <f t="shared" si="16"/>
        <v>22.125</v>
      </c>
      <c r="AC233" s="18">
        <f t="shared" si="17"/>
        <v>2.7096760688058059</v>
      </c>
      <c r="AD233" s="18">
        <f t="shared" si="18"/>
        <v>22.125</v>
      </c>
      <c r="AE233" s="18">
        <f t="shared" si="19"/>
        <v>27</v>
      </c>
      <c r="AF233" s="18">
        <f t="shared" si="20"/>
        <v>24.290323931194195</v>
      </c>
    </row>
    <row r="234" spans="1:32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21">
        <f>-(C$210-ABS(J$210))+0.2*(C$210-ABS(J$210))</f>
        <v>-118.00225976576851</v>
      </c>
      <c r="M234" s="21">
        <f t="shared" si="6"/>
        <v>29.494915527020851</v>
      </c>
      <c r="N234" s="21">
        <f t="shared" si="7"/>
        <v>27</v>
      </c>
      <c r="O234" s="21"/>
      <c r="P234" s="21">
        <f t="shared" si="8"/>
        <v>3.3959032519664545</v>
      </c>
      <c r="Q234" s="21">
        <f t="shared" si="11"/>
        <v>23.604096748033545</v>
      </c>
      <c r="R234" s="21"/>
      <c r="S234" s="21">
        <f t="shared" si="12"/>
        <v>-117.99717529278936</v>
      </c>
      <c r="T234" s="21">
        <f t="shared" si="13"/>
        <v>29.5</v>
      </c>
      <c r="U234" s="21">
        <f t="shared" si="9"/>
        <v>27</v>
      </c>
      <c r="V234" s="21">
        <f t="shared" si="10"/>
        <v>3.51483234545326</v>
      </c>
      <c r="W234" s="21">
        <f t="shared" si="14"/>
        <v>23.485167654546739</v>
      </c>
      <c r="X234" s="21"/>
      <c r="Y234" s="23">
        <v>0.1</v>
      </c>
      <c r="Z234" s="18"/>
      <c r="AA234" s="18">
        <f t="shared" si="15"/>
        <v>23.485167654546739</v>
      </c>
      <c r="AB234" s="18">
        <f t="shared" si="16"/>
        <v>29.5</v>
      </c>
      <c r="AC234" s="18">
        <f t="shared" si="17"/>
        <v>3.51483234545326</v>
      </c>
      <c r="AD234" s="18">
        <f t="shared" si="18"/>
        <v>29.5</v>
      </c>
      <c r="AE234" s="18">
        <f t="shared" si="19"/>
        <v>27</v>
      </c>
      <c r="AF234" s="18">
        <f t="shared" si="20"/>
        <v>23.485167654546739</v>
      </c>
    </row>
    <row r="235" spans="1:32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21">
        <f>-(C$210-ABS(J$210))+0.25*(C$210-ABS(J$210))</f>
        <v>-110.62711853040798</v>
      </c>
      <c r="M235" s="21">
        <f t="shared" si="6"/>
        <v>36.870056762381381</v>
      </c>
      <c r="N235" s="21">
        <f t="shared" si="7"/>
        <v>27</v>
      </c>
      <c r="O235" s="21"/>
      <c r="P235" s="21">
        <f t="shared" si="8"/>
        <v>4.1266874957078921</v>
      </c>
      <c r="Q235" s="21">
        <f t="shared" si="11"/>
        <v>22.873312504292109</v>
      </c>
      <c r="R235" s="21"/>
      <c r="S235" s="21">
        <f t="shared" si="12"/>
        <v>-110.62217529278936</v>
      </c>
      <c r="T235" s="21">
        <f t="shared" si="13"/>
        <v>36.875</v>
      </c>
      <c r="U235" s="21">
        <f t="shared" si="9"/>
        <v>27</v>
      </c>
      <c r="V235" s="21">
        <f t="shared" si="10"/>
        <v>4.2710143829413685</v>
      </c>
      <c r="W235" s="21">
        <f t="shared" si="14"/>
        <v>22.728985617058633</v>
      </c>
      <c r="X235" s="21"/>
      <c r="Y235" s="23">
        <v>0.125</v>
      </c>
      <c r="Z235" s="18"/>
      <c r="AA235" s="18">
        <f t="shared" si="15"/>
        <v>22.728985617058633</v>
      </c>
      <c r="AB235" s="18">
        <f t="shared" si="16"/>
        <v>36.875</v>
      </c>
      <c r="AC235" s="18">
        <f t="shared" si="17"/>
        <v>4.2710143829413685</v>
      </c>
      <c r="AD235" s="18">
        <f t="shared" si="18"/>
        <v>36.875</v>
      </c>
      <c r="AE235" s="18">
        <f t="shared" si="19"/>
        <v>27</v>
      </c>
      <c r="AF235" s="18">
        <f t="shared" si="20"/>
        <v>22.728985617058633</v>
      </c>
    </row>
    <row r="236" spans="1:32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21">
        <f>-(C$210-ABS(J$210))+0.3*(C$210-ABS(J$210))</f>
        <v>-103.25197729504745</v>
      </c>
      <c r="M236" s="21">
        <f t="shared" si="6"/>
        <v>44.245197997741911</v>
      </c>
      <c r="N236" s="21">
        <f t="shared" si="7"/>
        <v>27</v>
      </c>
      <c r="O236" s="21"/>
      <c r="P236" s="21">
        <f t="shared" si="8"/>
        <v>4.8101852319848293</v>
      </c>
      <c r="Q236" s="21">
        <f t="shared" si="11"/>
        <v>22.189814768015172</v>
      </c>
      <c r="R236" s="21"/>
      <c r="S236" s="21">
        <f t="shared" si="12"/>
        <v>-103.24717529278936</v>
      </c>
      <c r="T236" s="21">
        <f t="shared" si="13"/>
        <v>44.25</v>
      </c>
      <c r="U236" s="21">
        <f t="shared" si="9"/>
        <v>27</v>
      </c>
      <c r="V236" s="21">
        <f t="shared" si="10"/>
        <v>4.9782551571962568</v>
      </c>
      <c r="W236" s="21">
        <f t="shared" si="14"/>
        <v>22.021744842803741</v>
      </c>
      <c r="X236" s="21"/>
      <c r="Y236" s="23">
        <v>0.15</v>
      </c>
      <c r="Z236" s="18"/>
      <c r="AA236" s="18">
        <f t="shared" si="15"/>
        <v>22.021744842803741</v>
      </c>
      <c r="AB236" s="18">
        <f t="shared" si="16"/>
        <v>44.25</v>
      </c>
      <c r="AC236" s="18">
        <f t="shared" si="17"/>
        <v>4.9782551571962568</v>
      </c>
      <c r="AD236" s="18">
        <f t="shared" si="18"/>
        <v>44.25</v>
      </c>
      <c r="AE236" s="18">
        <f t="shared" si="19"/>
        <v>27</v>
      </c>
      <c r="AF236" s="18">
        <f t="shared" si="20"/>
        <v>22.021744842803741</v>
      </c>
    </row>
    <row r="237" spans="1:32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21">
        <f>-(C$210-ABS(J$210))+0.35*(C$210-ABS(J$210))</f>
        <v>-95.876836059686923</v>
      </c>
      <c r="M237" s="21">
        <f t="shared" si="6"/>
        <v>51.620339233102442</v>
      </c>
      <c r="N237" s="21">
        <f t="shared" si="7"/>
        <v>27</v>
      </c>
      <c r="O237" s="21"/>
      <c r="P237" s="21">
        <f t="shared" si="8"/>
        <v>5.4464243024553394</v>
      </c>
      <c r="Q237" s="21">
        <f t="shared" si="11"/>
        <v>21.553575697544659</v>
      </c>
      <c r="R237" s="21"/>
      <c r="S237" s="21">
        <f t="shared" si="12"/>
        <v>-95.872175292789365</v>
      </c>
      <c r="T237" s="21">
        <f t="shared" si="13"/>
        <v>51.625</v>
      </c>
      <c r="U237" s="21">
        <f t="shared" si="9"/>
        <v>27</v>
      </c>
      <c r="V237" s="21">
        <f t="shared" si="10"/>
        <v>5.6365855098920346</v>
      </c>
      <c r="W237" s="21">
        <f t="shared" si="14"/>
        <v>21.363414490107964</v>
      </c>
      <c r="X237" s="21"/>
      <c r="Y237" s="23">
        <v>0.17499999999999999</v>
      </c>
      <c r="Z237" s="18"/>
      <c r="AA237" s="18">
        <f t="shared" si="15"/>
        <v>21.363414490107964</v>
      </c>
      <c r="AB237" s="18">
        <f t="shared" si="16"/>
        <v>51.625</v>
      </c>
      <c r="AC237" s="18">
        <f t="shared" si="17"/>
        <v>5.6365855098920346</v>
      </c>
      <c r="AD237" s="18">
        <f t="shared" si="18"/>
        <v>51.625</v>
      </c>
      <c r="AE237" s="18">
        <f t="shared" si="19"/>
        <v>27</v>
      </c>
      <c r="AF237" s="18">
        <f t="shared" si="20"/>
        <v>21.363414490107964</v>
      </c>
    </row>
    <row r="238" spans="1:32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21">
        <f>-(C$210-ABS(J$210))+0.4*(C$210-ABS(J$210))</f>
        <v>-88.501694824326378</v>
      </c>
      <c r="M238" s="21">
        <f t="shared" si="6"/>
        <v>58.995480468462986</v>
      </c>
      <c r="N238" s="21">
        <f t="shared" si="7"/>
        <v>27</v>
      </c>
      <c r="O238" s="21"/>
      <c r="P238" s="21">
        <f t="shared" si="8"/>
        <v>6.0354306237385655</v>
      </c>
      <c r="Q238" s="21">
        <f t="shared" si="11"/>
        <v>20.964569376261434</v>
      </c>
      <c r="R238" s="21"/>
      <c r="S238" s="21">
        <f t="shared" si="12"/>
        <v>-88.497175292789365</v>
      </c>
      <c r="T238" s="21">
        <f t="shared" si="13"/>
        <v>59</v>
      </c>
      <c r="U238" s="21">
        <f t="shared" si="9"/>
        <v>27</v>
      </c>
      <c r="V238" s="21">
        <f t="shared" si="10"/>
        <v>6.246034149795098</v>
      </c>
      <c r="W238" s="21">
        <f t="shared" si="14"/>
        <v>20.753965850204903</v>
      </c>
      <c r="X238" s="21"/>
      <c r="Y238" s="23">
        <v>0.2</v>
      </c>
      <c r="Z238" s="18"/>
      <c r="AA238" s="18">
        <f t="shared" si="15"/>
        <v>20.753965850204903</v>
      </c>
      <c r="AB238" s="18">
        <f t="shared" si="16"/>
        <v>59</v>
      </c>
      <c r="AC238" s="18">
        <f t="shared" si="17"/>
        <v>6.246034149795098</v>
      </c>
      <c r="AD238" s="18">
        <f t="shared" si="18"/>
        <v>59</v>
      </c>
      <c r="AE238" s="18">
        <f t="shared" si="19"/>
        <v>27</v>
      </c>
      <c r="AF238" s="18">
        <f t="shared" si="20"/>
        <v>20.753965850204903</v>
      </c>
    </row>
    <row r="239" spans="1:32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21">
        <f>-(C$210-ABS(J$210))+0.45*(C$210-ABS(J$210))</f>
        <v>-81.126553588965848</v>
      </c>
      <c r="M239" s="21">
        <f t="shared" si="6"/>
        <v>66.370621703823517</v>
      </c>
      <c r="N239" s="21">
        <f t="shared" si="7"/>
        <v>27</v>
      </c>
      <c r="O239" s="21"/>
      <c r="P239" s="21">
        <f t="shared" si="8"/>
        <v>6.577228188471091</v>
      </c>
      <c r="Q239" s="21">
        <f t="shared" si="11"/>
        <v>20.422771811528911</v>
      </c>
      <c r="R239" s="21"/>
      <c r="S239" s="21">
        <f t="shared" si="12"/>
        <v>-81.122175292789365</v>
      </c>
      <c r="T239" s="21">
        <f t="shared" si="13"/>
        <v>66.375</v>
      </c>
      <c r="U239" s="21">
        <f t="shared" si="9"/>
        <v>27</v>
      </c>
      <c r="V239" s="21">
        <f t="shared" si="10"/>
        <v>6.8066276540156911</v>
      </c>
      <c r="W239" s="21">
        <f t="shared" si="14"/>
        <v>20.193372345984308</v>
      </c>
      <c r="X239" s="21"/>
      <c r="Y239" s="23">
        <v>0.22500000000000001</v>
      </c>
      <c r="Z239" s="18"/>
      <c r="AA239" s="18">
        <f t="shared" si="15"/>
        <v>20.193372345984308</v>
      </c>
      <c r="AB239" s="18">
        <f t="shared" si="16"/>
        <v>66.375</v>
      </c>
      <c r="AC239" s="18">
        <f t="shared" si="17"/>
        <v>6.8066276540156911</v>
      </c>
      <c r="AD239" s="18">
        <f t="shared" si="18"/>
        <v>66.375</v>
      </c>
      <c r="AE239" s="18">
        <f t="shared" si="19"/>
        <v>27</v>
      </c>
      <c r="AF239" s="18">
        <f t="shared" si="20"/>
        <v>20.193372345984308</v>
      </c>
    </row>
    <row r="240" spans="1:32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21">
        <f>-(C$210-ABS(J$210))+0.5*(C$210-ABS(J$210))</f>
        <v>-73.751412353605318</v>
      </c>
      <c r="M240" s="21">
        <f t="shared" si="6"/>
        <v>73.745762939184047</v>
      </c>
      <c r="N240" s="21">
        <f t="shared" si="7"/>
        <v>27</v>
      </c>
      <c r="O240" s="21"/>
      <c r="P240" s="21">
        <f t="shared" si="8"/>
        <v>7.0718390662834976</v>
      </c>
      <c r="Q240" s="21">
        <f t="shared" si="11"/>
        <v>19.928160933716502</v>
      </c>
      <c r="R240" s="21"/>
      <c r="S240" s="21">
        <f t="shared" si="12"/>
        <v>-73.747175292789365</v>
      </c>
      <c r="T240" s="21">
        <f t="shared" si="13"/>
        <v>73.75</v>
      </c>
      <c r="U240" s="21">
        <f t="shared" si="9"/>
        <v>27</v>
      </c>
      <c r="V240" s="21">
        <f t="shared" si="10"/>
        <v>7.3183904691674604</v>
      </c>
      <c r="W240" s="21">
        <f t="shared" si="14"/>
        <v>19.681609530832539</v>
      </c>
      <c r="X240" s="21"/>
      <c r="Y240" s="23">
        <v>0.25</v>
      </c>
      <c r="Z240" s="18"/>
      <c r="AA240" s="18">
        <f t="shared" si="15"/>
        <v>19.681609530832539</v>
      </c>
      <c r="AB240" s="18">
        <f t="shared" si="16"/>
        <v>73.75</v>
      </c>
      <c r="AC240" s="18">
        <f t="shared" si="17"/>
        <v>7.3183904691674604</v>
      </c>
      <c r="AD240" s="18">
        <f t="shared" si="18"/>
        <v>73.75</v>
      </c>
      <c r="AE240" s="18">
        <f t="shared" si="19"/>
        <v>27</v>
      </c>
      <c r="AF240" s="18">
        <f t="shared" si="20"/>
        <v>19.681609530832539</v>
      </c>
    </row>
    <row r="241" spans="1:32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21">
        <f>-(C$210-ABS(J$210))+0.55*(C$210-ABS(J$210))</f>
        <v>-66.376271118244773</v>
      </c>
      <c r="M241" s="21">
        <f t="shared" si="6"/>
        <v>81.120904174544592</v>
      </c>
      <c r="N241" s="21">
        <f t="shared" si="7"/>
        <v>27</v>
      </c>
      <c r="O241" s="21"/>
      <c r="P241" s="21">
        <f t="shared" si="8"/>
        <v>7.5192834046999577</v>
      </c>
      <c r="Q241" s="21">
        <f t="shared" si="11"/>
        <v>19.480716595300041</v>
      </c>
      <c r="R241" s="21"/>
      <c r="S241" s="21">
        <f t="shared" si="12"/>
        <v>-66.372175292789365</v>
      </c>
      <c r="T241" s="21">
        <f t="shared" si="13"/>
        <v>81.125</v>
      </c>
      <c r="U241" s="21">
        <f t="shared" si="9"/>
        <v>27</v>
      </c>
      <c r="V241" s="21">
        <f t="shared" si="10"/>
        <v>7.7813449124342684</v>
      </c>
      <c r="W241" s="21">
        <f t="shared" si="14"/>
        <v>19.218655087565732</v>
      </c>
      <c r="X241" s="21"/>
      <c r="Y241" s="23">
        <v>0.27500000000000002</v>
      </c>
      <c r="Z241" s="18"/>
      <c r="AA241" s="18">
        <f t="shared" si="15"/>
        <v>19.218655087565732</v>
      </c>
      <c r="AB241" s="18">
        <f t="shared" si="16"/>
        <v>81.125</v>
      </c>
      <c r="AC241" s="18">
        <f t="shared" si="17"/>
        <v>7.7813449124342684</v>
      </c>
      <c r="AD241" s="18">
        <f t="shared" si="18"/>
        <v>81.125</v>
      </c>
      <c r="AE241" s="18">
        <f t="shared" si="19"/>
        <v>27</v>
      </c>
      <c r="AF241" s="18">
        <f t="shared" si="20"/>
        <v>19.218655087565732</v>
      </c>
    </row>
    <row r="242" spans="1:32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21">
        <f>-(C$210-ABS(J$210))+0.6*(C$210-ABS(J$210))</f>
        <v>-59.001129882884257</v>
      </c>
      <c r="M242" s="21">
        <f t="shared" si="6"/>
        <v>88.496045409905108</v>
      </c>
      <c r="N242" s="21">
        <f t="shared" si="7"/>
        <v>27</v>
      </c>
      <c r="O242" s="21"/>
      <c r="P242" s="21">
        <f t="shared" si="8"/>
        <v>7.9195794299577704</v>
      </c>
      <c r="Q242" s="21">
        <f t="shared" si="11"/>
        <v>19.080420570042229</v>
      </c>
      <c r="R242" s="21"/>
      <c r="S242" s="21">
        <f t="shared" si="12"/>
        <v>-58.997175292789365</v>
      </c>
      <c r="T242" s="21">
        <f t="shared" si="13"/>
        <v>88.5</v>
      </c>
      <c r="U242" s="21">
        <f t="shared" si="9"/>
        <v>27</v>
      </c>
      <c r="V242" s="21">
        <f t="shared" si="10"/>
        <v>8.1955111725410372</v>
      </c>
      <c r="W242" s="21">
        <f t="shared" si="14"/>
        <v>18.804488827458961</v>
      </c>
      <c r="X242" s="21"/>
      <c r="Y242" s="23">
        <v>0.3</v>
      </c>
      <c r="Z242" s="18"/>
      <c r="AA242" s="18">
        <f t="shared" si="15"/>
        <v>18.804488827458961</v>
      </c>
      <c r="AB242" s="18">
        <f t="shared" si="16"/>
        <v>88.5</v>
      </c>
      <c r="AC242" s="18">
        <f t="shared" si="17"/>
        <v>8.1955111725410372</v>
      </c>
      <c r="AD242" s="18">
        <f t="shared" si="18"/>
        <v>88.5</v>
      </c>
      <c r="AE242" s="18">
        <f t="shared" si="19"/>
        <v>27</v>
      </c>
      <c r="AF242" s="18">
        <f t="shared" si="20"/>
        <v>18.804488827458961</v>
      </c>
    </row>
    <row r="243" spans="1:32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21">
        <f>-(C$210-ABS(J$210))+0.65*(C$210-ABS(J$210))</f>
        <v>-51.625988647523712</v>
      </c>
      <c r="M243" s="21">
        <f t="shared" si="6"/>
        <v>95.871186645265652</v>
      </c>
      <c r="N243" s="21">
        <f t="shared" si="7"/>
        <v>27</v>
      </c>
      <c r="O243" s="21"/>
      <c r="P243" s="21">
        <f t="shared" si="8"/>
        <v>8.2727434477517114</v>
      </c>
      <c r="Q243" s="21">
        <f t="shared" si="11"/>
        <v>18.727256552248289</v>
      </c>
      <c r="R243" s="21"/>
      <c r="S243" s="21">
        <f t="shared" si="12"/>
        <v>-51.622175292789365</v>
      </c>
      <c r="T243" s="21">
        <f t="shared" si="13"/>
        <v>95.875</v>
      </c>
      <c r="U243" s="21">
        <f t="shared" si="9"/>
        <v>27</v>
      </c>
      <c r="V243" s="21">
        <f t="shared" si="10"/>
        <v>8.5609073106365585</v>
      </c>
      <c r="W243" s="21">
        <f t="shared" si="14"/>
        <v>18.439092689363441</v>
      </c>
      <c r="X243" s="21"/>
      <c r="Y243" s="23">
        <v>0.32500000000000001</v>
      </c>
      <c r="Z243" s="18"/>
      <c r="AA243" s="18">
        <f t="shared" si="15"/>
        <v>18.439092689363441</v>
      </c>
      <c r="AB243" s="18">
        <f t="shared" si="16"/>
        <v>95.875</v>
      </c>
      <c r="AC243" s="18">
        <f t="shared" si="17"/>
        <v>8.5609073106365585</v>
      </c>
      <c r="AD243" s="18">
        <f t="shared" si="18"/>
        <v>95.875</v>
      </c>
      <c r="AE243" s="18">
        <f t="shared" si="19"/>
        <v>27</v>
      </c>
      <c r="AF243" s="18">
        <f t="shared" si="20"/>
        <v>18.439092689363441</v>
      </c>
    </row>
    <row r="244" spans="1:32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21">
        <f>-(C$210-ABS(J$210))+0.7*(C$210-ABS(J$210))</f>
        <v>-44.250847412163196</v>
      </c>
      <c r="M244" s="21">
        <f t="shared" si="6"/>
        <v>103.24632788062617</v>
      </c>
      <c r="N244" s="21">
        <f t="shared" si="7"/>
        <v>27</v>
      </c>
      <c r="O244" s="21"/>
      <c r="P244" s="21">
        <f t="shared" si="8"/>
        <v>8.5787898438960308</v>
      </c>
      <c r="Q244" s="21">
        <f t="shared" si="11"/>
        <v>18.421210156103967</v>
      </c>
      <c r="R244" s="21"/>
      <c r="S244" s="21">
        <f t="shared" si="12"/>
        <v>-44.247175292789365</v>
      </c>
      <c r="T244" s="21">
        <f t="shared" si="13"/>
        <v>103.25</v>
      </c>
      <c r="U244" s="21">
        <f t="shared" si="9"/>
        <v>27</v>
      </c>
      <c r="V244" s="21">
        <f t="shared" si="10"/>
        <v>8.8775492610803397</v>
      </c>
      <c r="W244" s="21">
        <f t="shared" si="14"/>
        <v>18.12245073891966</v>
      </c>
      <c r="X244" s="21"/>
      <c r="Y244" s="23">
        <v>0.35</v>
      </c>
      <c r="Z244" s="18"/>
      <c r="AA244" s="18">
        <f t="shared" si="15"/>
        <v>18.12245073891966</v>
      </c>
      <c r="AB244" s="18">
        <f t="shared" si="16"/>
        <v>103.25</v>
      </c>
      <c r="AC244" s="18">
        <f t="shared" si="17"/>
        <v>8.8775492610803397</v>
      </c>
      <c r="AD244" s="18">
        <f t="shared" si="18"/>
        <v>103.25</v>
      </c>
      <c r="AE244" s="18">
        <f t="shared" si="19"/>
        <v>27</v>
      </c>
      <c r="AF244" s="18">
        <f t="shared" si="20"/>
        <v>18.12245073891966</v>
      </c>
    </row>
    <row r="245" spans="1:32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21">
        <f>-(C$210-ABS(J$210))+0.75*(C$210-ABS(J$210))</f>
        <v>-36.875706176802652</v>
      </c>
      <c r="M245" s="21">
        <f t="shared" si="6"/>
        <v>110.62146911598671</v>
      </c>
      <c r="N245" s="21">
        <f t="shared" si="7"/>
        <v>27</v>
      </c>
      <c r="O245" s="21"/>
      <c r="P245" s="21">
        <f t="shared" si="8"/>
        <v>8.8377310849125408</v>
      </c>
      <c r="Q245" s="21">
        <f t="shared" si="11"/>
        <v>18.162268915087459</v>
      </c>
      <c r="R245" s="21"/>
      <c r="S245" s="21">
        <f t="shared" si="12"/>
        <v>-36.872175292789365</v>
      </c>
      <c r="T245" s="21">
        <f t="shared" si="13"/>
        <v>110.625</v>
      </c>
      <c r="U245" s="21">
        <f t="shared" si="9"/>
        <v>27</v>
      </c>
      <c r="V245" s="21">
        <f t="shared" si="10"/>
        <v>9.1454508321366976</v>
      </c>
      <c r="W245" s="21">
        <f t="shared" si="14"/>
        <v>17.854549167863304</v>
      </c>
      <c r="X245" s="21"/>
      <c r="Y245" s="23">
        <v>0.375</v>
      </c>
      <c r="Z245" s="18"/>
      <c r="AA245" s="18">
        <f t="shared" si="15"/>
        <v>17.854549167863304</v>
      </c>
      <c r="AB245" s="18">
        <f t="shared" si="16"/>
        <v>110.625</v>
      </c>
      <c r="AC245" s="18">
        <f t="shared" si="17"/>
        <v>9.1454508321366976</v>
      </c>
      <c r="AD245" s="18">
        <f t="shared" si="18"/>
        <v>110.625</v>
      </c>
      <c r="AE245" s="18">
        <f t="shared" si="19"/>
        <v>27</v>
      </c>
      <c r="AF245" s="18">
        <f t="shared" si="20"/>
        <v>17.854549167863304</v>
      </c>
    </row>
    <row r="246" spans="1:32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21">
        <f>-(C$210-ABS(J$210))+0.8*(C$210-ABS(J$210))</f>
        <v>-29.500564941442121</v>
      </c>
      <c r="M246" s="21">
        <f t="shared" si="6"/>
        <v>117.99661035134724</v>
      </c>
      <c r="N246" s="21">
        <f t="shared" si="7"/>
        <v>27</v>
      </c>
      <c r="O246" s="21"/>
      <c r="P246" s="21">
        <f t="shared" si="8"/>
        <v>9.049577718536602</v>
      </c>
      <c r="Q246" s="21">
        <f t="shared" si="11"/>
        <v>17.950422281463396</v>
      </c>
      <c r="R246" s="21"/>
      <c r="S246" s="21">
        <f t="shared" si="12"/>
        <v>-29.497175292789365</v>
      </c>
      <c r="T246" s="21">
        <f t="shared" si="13"/>
        <v>118</v>
      </c>
      <c r="U246" s="21">
        <f t="shared" si="9"/>
        <v>27</v>
      </c>
      <c r="V246" s="21">
        <f t="shared" si="10"/>
        <v>9.3646237065778486</v>
      </c>
      <c r="W246" s="21">
        <f t="shared" si="14"/>
        <v>17.635376293422151</v>
      </c>
      <c r="X246" s="21"/>
      <c r="Y246" s="23">
        <v>0.4</v>
      </c>
      <c r="Z246" s="18"/>
      <c r="AA246" s="18">
        <f t="shared" si="15"/>
        <v>17.635376293422151</v>
      </c>
      <c r="AB246" s="18">
        <f t="shared" si="16"/>
        <v>118</v>
      </c>
      <c r="AC246" s="18">
        <f t="shared" si="17"/>
        <v>9.3646237065778486</v>
      </c>
      <c r="AD246" s="18">
        <f t="shared" si="18"/>
        <v>118</v>
      </c>
      <c r="AE246" s="18">
        <f t="shared" si="19"/>
        <v>27</v>
      </c>
      <c r="AF246" s="18">
        <f t="shared" si="20"/>
        <v>17.635376293422151</v>
      </c>
    </row>
    <row r="247" spans="1:32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21">
        <f>-(C$210-ABS(J$210))+0.85*(C$210-ABS(J$210))</f>
        <v>-22.125423706081605</v>
      </c>
      <c r="M247" s="21">
        <f t="shared" si="6"/>
        <v>125.37175158670776</v>
      </c>
      <c r="N247" s="21">
        <f t="shared" si="7"/>
        <v>27</v>
      </c>
      <c r="O247" s="21"/>
      <c r="P247" s="21">
        <f t="shared" si="8"/>
        <v>9.2143383741481983</v>
      </c>
      <c r="Q247" s="21">
        <f t="shared" si="11"/>
        <v>17.785661625851802</v>
      </c>
      <c r="R247" s="21"/>
      <c r="S247" s="21">
        <f t="shared" si="12"/>
        <v>-22.122175292789365</v>
      </c>
      <c r="T247" s="21">
        <f t="shared" si="13"/>
        <v>125.375</v>
      </c>
      <c r="U247" s="21">
        <f t="shared" si="9"/>
        <v>27</v>
      </c>
      <c r="V247" s="21">
        <f t="shared" si="10"/>
        <v>9.5350774421937565</v>
      </c>
      <c r="W247" s="21">
        <f t="shared" si="14"/>
        <v>17.464922557806243</v>
      </c>
      <c r="X247" s="21"/>
      <c r="Y247" s="23">
        <v>0.42499999999999999</v>
      </c>
      <c r="Z247" s="18"/>
      <c r="AA247" s="18">
        <f t="shared" si="15"/>
        <v>17.464922557806243</v>
      </c>
      <c r="AB247" s="18">
        <f t="shared" si="16"/>
        <v>125.375</v>
      </c>
      <c r="AC247" s="18">
        <f t="shared" si="17"/>
        <v>9.5350774421937565</v>
      </c>
      <c r="AD247" s="18">
        <f t="shared" si="18"/>
        <v>125.375</v>
      </c>
      <c r="AE247" s="18">
        <f t="shared" si="19"/>
        <v>27</v>
      </c>
      <c r="AF247" s="18">
        <f t="shared" si="20"/>
        <v>17.464922557806243</v>
      </c>
    </row>
    <row r="248" spans="1:32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21">
        <f>-(C$210-ABS(J$210))+0.9*(C$210-ABS(J$210))</f>
        <v>-14.750282470721061</v>
      </c>
      <c r="M248" s="21">
        <f t="shared" si="6"/>
        <v>132.7468928220683</v>
      </c>
      <c r="N248" s="21">
        <f t="shared" si="7"/>
        <v>27</v>
      </c>
      <c r="O248" s="21"/>
      <c r="P248" s="21">
        <f t="shared" si="8"/>
        <v>9.3320197631229327</v>
      </c>
      <c r="Q248" s="21">
        <f t="shared" si="11"/>
        <v>17.667980236877067</v>
      </c>
      <c r="R248" s="21"/>
      <c r="S248" s="21">
        <f t="shared" si="12"/>
        <v>-14.747175292789365</v>
      </c>
      <c r="T248" s="21">
        <f t="shared" si="13"/>
        <v>132.75</v>
      </c>
      <c r="U248" s="21">
        <f t="shared" si="9"/>
        <v>27</v>
      </c>
      <c r="V248" s="21">
        <f t="shared" si="10"/>
        <v>9.6568194722067577</v>
      </c>
      <c r="W248" s="21">
        <f t="shared" si="14"/>
        <v>17.343180527793244</v>
      </c>
      <c r="X248" s="21"/>
      <c r="Y248" s="23">
        <v>0.45</v>
      </c>
      <c r="Z248" s="18"/>
      <c r="AA248" s="18">
        <f t="shared" si="15"/>
        <v>17.343180527793244</v>
      </c>
      <c r="AB248" s="18">
        <f t="shared" si="16"/>
        <v>132.75</v>
      </c>
      <c r="AC248" s="18">
        <f t="shared" si="17"/>
        <v>9.6568194722067577</v>
      </c>
      <c r="AD248" s="18">
        <f t="shared" si="18"/>
        <v>132.75</v>
      </c>
      <c r="AE248" s="18">
        <f t="shared" si="19"/>
        <v>27</v>
      </c>
      <c r="AF248" s="18">
        <f t="shared" si="20"/>
        <v>17.343180527793244</v>
      </c>
    </row>
    <row r="249" spans="1:32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24">
        <f>-(C$210-ABS(J$210))+0.95*(C$210-ABS(J$210))</f>
        <v>-7.3751412353605303</v>
      </c>
      <c r="M249" s="24">
        <f t="shared" si="6"/>
        <v>140.12203405742883</v>
      </c>
      <c r="N249" s="24">
        <f t="shared" si="7"/>
        <v>27</v>
      </c>
      <c r="O249" s="21"/>
      <c r="P249" s="21">
        <f t="shared" si="8"/>
        <v>9.4026266791045252</v>
      </c>
      <c r="Q249" s="21">
        <f t="shared" si="11"/>
        <v>17.597373320895475</v>
      </c>
      <c r="R249" s="21"/>
      <c r="S249" s="21">
        <f t="shared" si="12"/>
        <v>-7.3721752927893647</v>
      </c>
      <c r="T249" s="21">
        <f t="shared" si="13"/>
        <v>140.125</v>
      </c>
      <c r="U249" s="21">
        <f t="shared" si="9"/>
        <v>27</v>
      </c>
      <c r="V249" s="21">
        <f t="shared" si="10"/>
        <v>9.7298551055986486</v>
      </c>
      <c r="W249" s="21">
        <f t="shared" si="14"/>
        <v>17.270144894401351</v>
      </c>
      <c r="X249" s="21"/>
      <c r="Y249" s="23">
        <v>0.47499999999999998</v>
      </c>
      <c r="Z249" s="18"/>
      <c r="AA249" s="18">
        <f t="shared" si="15"/>
        <v>17.270144894401351</v>
      </c>
      <c r="AB249" s="18">
        <f t="shared" si="16"/>
        <v>140.125</v>
      </c>
      <c r="AC249" s="18">
        <f t="shared" si="17"/>
        <v>9.7298551055986486</v>
      </c>
      <c r="AD249" s="18">
        <f t="shared" si="18"/>
        <v>140.125</v>
      </c>
      <c r="AE249" s="18">
        <f t="shared" si="19"/>
        <v>27</v>
      </c>
      <c r="AF249" s="18">
        <f t="shared" si="20"/>
        <v>17.270144894401351</v>
      </c>
    </row>
    <row r="250" spans="1:32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24">
        <f>-(C$210-ABS(J$210))+1*(C$210-ABS(J$210))</f>
        <v>0</v>
      </c>
      <c r="M250" s="24">
        <f t="shared" si="6"/>
        <v>147.49717529278936</v>
      </c>
      <c r="N250" s="24">
        <f t="shared" si="7"/>
        <v>27</v>
      </c>
      <c r="O250" s="21"/>
      <c r="P250" s="21">
        <f t="shared" si="8"/>
        <v>9.4261619982018772</v>
      </c>
      <c r="Q250" s="21">
        <f t="shared" si="11"/>
        <v>17.573838001798123</v>
      </c>
      <c r="R250" s="21"/>
      <c r="S250" s="21">
        <f t="shared" si="12"/>
        <v>2.8247072106353244E-3</v>
      </c>
      <c r="T250" s="21">
        <f t="shared" si="13"/>
        <v>147.5</v>
      </c>
      <c r="U250" s="21">
        <f t="shared" si="9"/>
        <v>27</v>
      </c>
      <c r="V250" s="21">
        <f t="shared" si="10"/>
        <v>9.7541875273398126</v>
      </c>
      <c r="W250" s="21">
        <f t="shared" si="14"/>
        <v>17.245812472660187</v>
      </c>
      <c r="X250" s="21"/>
      <c r="Y250" s="23">
        <v>0.5</v>
      </c>
      <c r="Z250" s="18"/>
      <c r="AA250" s="18">
        <f t="shared" si="15"/>
        <v>17.245812472660187</v>
      </c>
      <c r="AB250" s="18">
        <f t="shared" si="16"/>
        <v>147.5</v>
      </c>
      <c r="AC250" s="18">
        <f t="shared" si="17"/>
        <v>9.7541875273398126</v>
      </c>
      <c r="AD250" s="18">
        <f t="shared" si="18"/>
        <v>147.5</v>
      </c>
      <c r="AE250" s="18">
        <f t="shared" si="19"/>
        <v>27</v>
      </c>
      <c r="AF250" s="18">
        <f t="shared" si="20"/>
        <v>17.245812472660187</v>
      </c>
    </row>
    <row r="251" spans="1:32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24">
        <f>-(C$210-ABS(J$210))+1.05*(C$210-ABS(J$210))</f>
        <v>7.3751412353605303</v>
      </c>
      <c r="M251" s="24">
        <f t="shared" si="6"/>
        <v>154.8723165281499</v>
      </c>
      <c r="N251" s="24">
        <f t="shared" si="7"/>
        <v>27</v>
      </c>
      <c r="O251" s="21"/>
      <c r="P251" s="21">
        <f t="shared" si="8"/>
        <v>9.4026266791045252</v>
      </c>
      <c r="Q251" s="21">
        <f t="shared" si="11"/>
        <v>17.597373320895475</v>
      </c>
      <c r="R251" s="21"/>
      <c r="S251" s="21">
        <f t="shared" si="12"/>
        <v>7.3778247072106353</v>
      </c>
      <c r="T251" s="21">
        <f t="shared" si="13"/>
        <v>154.875</v>
      </c>
      <c r="U251" s="21">
        <f t="shared" si="9"/>
        <v>27</v>
      </c>
      <c r="V251" s="21">
        <f t="shared" si="10"/>
        <v>9.7298177985298331</v>
      </c>
      <c r="W251" s="21">
        <f t="shared" si="14"/>
        <v>17.270182201470167</v>
      </c>
      <c r="X251" s="21"/>
      <c r="Y251" s="23">
        <v>0.52500000000000002</v>
      </c>
      <c r="Z251" s="18"/>
      <c r="AA251" s="18">
        <f t="shared" si="15"/>
        <v>17.245812472660187</v>
      </c>
      <c r="AB251" s="18">
        <f t="shared" si="16"/>
        <v>147.5</v>
      </c>
      <c r="AC251" s="18">
        <f t="shared" si="17"/>
        <v>9.7541875273398126</v>
      </c>
      <c r="AD251" s="18">
        <f t="shared" si="18"/>
        <v>147.5</v>
      </c>
      <c r="AE251" s="18">
        <f t="shared" si="19"/>
        <v>27</v>
      </c>
      <c r="AF251" s="18">
        <f t="shared" si="20"/>
        <v>17.245812472660187</v>
      </c>
    </row>
    <row r="252" spans="1:32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24">
        <f>-(C$210-ABS(J$210))+1.1*(C$210-ABS(J$210))</f>
        <v>14.750282470721089</v>
      </c>
      <c r="M252" s="24">
        <f t="shared" si="6"/>
        <v>162.24745776351045</v>
      </c>
      <c r="N252" s="24">
        <f t="shared" si="7"/>
        <v>27</v>
      </c>
      <c r="O252" s="21"/>
      <c r="P252" s="21">
        <f t="shared" si="8"/>
        <v>9.3320197631229327</v>
      </c>
      <c r="Q252" s="21">
        <f t="shared" si="11"/>
        <v>17.667980236877067</v>
      </c>
      <c r="R252" s="21"/>
      <c r="S252" s="21">
        <f t="shared" si="12"/>
        <v>14.752824707210635</v>
      </c>
      <c r="T252" s="21">
        <f t="shared" si="13"/>
        <v>162.25</v>
      </c>
      <c r="U252" s="21">
        <f t="shared" si="9"/>
        <v>27</v>
      </c>
      <c r="V252" s="21">
        <f t="shared" si="10"/>
        <v>9.6567448564426233</v>
      </c>
      <c r="W252" s="21">
        <f t="shared" si="14"/>
        <v>17.343255143557379</v>
      </c>
      <c r="X252" s="21"/>
      <c r="Y252" s="23">
        <v>0.55000000000000004</v>
      </c>
      <c r="Z252" s="18"/>
      <c r="AA252" s="18">
        <f t="shared" si="15"/>
        <v>17.245812472660187</v>
      </c>
      <c r="AB252" s="18">
        <f t="shared" si="16"/>
        <v>147.5</v>
      </c>
      <c r="AC252" s="18">
        <f t="shared" si="17"/>
        <v>9.7541875273398126</v>
      </c>
      <c r="AD252" s="18">
        <f t="shared" si="18"/>
        <v>147.5</v>
      </c>
      <c r="AE252" s="18">
        <f t="shared" si="19"/>
        <v>27</v>
      </c>
      <c r="AF252" s="18">
        <f t="shared" si="20"/>
        <v>17.245812472660187</v>
      </c>
    </row>
    <row r="253" spans="1:32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24">
        <f>-(C$210-ABS(J$210))+1.15*(C$210-ABS(J$210))</f>
        <v>22.125423706081591</v>
      </c>
      <c r="M253" s="24">
        <f t="shared" si="6"/>
        <v>169.62259899887096</v>
      </c>
      <c r="N253" s="24">
        <f t="shared" si="7"/>
        <v>27</v>
      </c>
      <c r="O253" s="21"/>
      <c r="P253" s="21">
        <f t="shared" si="8"/>
        <v>9.2143383741481983</v>
      </c>
      <c r="Q253" s="21">
        <f t="shared" si="11"/>
        <v>17.785661625851802</v>
      </c>
      <c r="R253" s="21"/>
      <c r="S253" s="21">
        <f t="shared" si="12"/>
        <v>22.127824707210635</v>
      </c>
      <c r="T253" s="21">
        <f t="shared" si="13"/>
        <v>169.625</v>
      </c>
      <c r="U253" s="21">
        <f t="shared" si="9"/>
        <v>27</v>
      </c>
      <c r="V253" s="21">
        <f t="shared" si="10"/>
        <v>9.5349655144800494</v>
      </c>
      <c r="W253" s="21">
        <f t="shared" si="14"/>
        <v>17.465034485519951</v>
      </c>
      <c r="X253" s="21"/>
      <c r="Y253" s="23">
        <v>0.57499999999999996</v>
      </c>
      <c r="Z253" s="18"/>
      <c r="AA253" s="18">
        <f t="shared" si="15"/>
        <v>17.245812472660187</v>
      </c>
      <c r="AB253" s="18">
        <f t="shared" si="16"/>
        <v>147.5</v>
      </c>
      <c r="AC253" s="18">
        <f t="shared" si="17"/>
        <v>9.7541875273398126</v>
      </c>
      <c r="AD253" s="18">
        <f t="shared" si="18"/>
        <v>147.5</v>
      </c>
      <c r="AE253" s="18">
        <f t="shared" si="19"/>
        <v>27</v>
      </c>
      <c r="AF253" s="18">
        <f t="shared" si="20"/>
        <v>17.245812472660187</v>
      </c>
    </row>
    <row r="254" spans="1:32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24">
        <f>-(C$210-ABS(J$210))+1.2*(C$210-ABS(J$210))</f>
        <v>29.500564941442121</v>
      </c>
      <c r="M254" s="24">
        <f t="shared" si="6"/>
        <v>176.99774023423149</v>
      </c>
      <c r="N254" s="24">
        <f t="shared" si="7"/>
        <v>27</v>
      </c>
      <c r="O254" s="21"/>
      <c r="P254" s="21">
        <f t="shared" si="8"/>
        <v>9.049577718536602</v>
      </c>
      <c r="Q254" s="21">
        <f t="shared" si="11"/>
        <v>17.950422281463396</v>
      </c>
      <c r="R254" s="21"/>
      <c r="S254" s="21">
        <f t="shared" si="12"/>
        <v>29.502824707210635</v>
      </c>
      <c r="T254" s="21">
        <f t="shared" si="13"/>
        <v>177</v>
      </c>
      <c r="U254" s="21">
        <f t="shared" si="9"/>
        <v>27</v>
      </c>
      <c r="V254" s="21">
        <f t="shared" si="10"/>
        <v>9.3644744620340656</v>
      </c>
      <c r="W254" s="21">
        <f t="shared" si="14"/>
        <v>17.635525537965933</v>
      </c>
      <c r="X254" s="21"/>
      <c r="Y254" s="23">
        <v>0.6</v>
      </c>
      <c r="Z254" s="18"/>
      <c r="AA254" s="18">
        <f t="shared" si="15"/>
        <v>17.245812472660187</v>
      </c>
      <c r="AB254" s="18">
        <f t="shared" si="16"/>
        <v>147.5</v>
      </c>
      <c r="AC254" s="18">
        <f t="shared" si="17"/>
        <v>9.7541875273398126</v>
      </c>
      <c r="AD254" s="18">
        <f t="shared" si="18"/>
        <v>147.5</v>
      </c>
      <c r="AE254" s="18">
        <f t="shared" si="19"/>
        <v>27</v>
      </c>
      <c r="AF254" s="18">
        <f t="shared" si="20"/>
        <v>17.245812472660187</v>
      </c>
    </row>
    <row r="255" spans="1:32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24">
        <f>-(C$210-ABS(J$210))+1.25*(C$210-ABS(J$210))</f>
        <v>36.875706176802652</v>
      </c>
      <c r="M255" s="24">
        <f t="shared" si="6"/>
        <v>184.37288146959202</v>
      </c>
      <c r="N255" s="24">
        <f t="shared" si="7"/>
        <v>27</v>
      </c>
      <c r="O255" s="21"/>
      <c r="P255" s="21">
        <f t="shared" si="8"/>
        <v>8.8377310849125408</v>
      </c>
      <c r="Q255" s="21">
        <f t="shared" si="11"/>
        <v>18.162268915087459</v>
      </c>
      <c r="R255" s="21"/>
      <c r="S255" s="21">
        <f t="shared" si="12"/>
        <v>36.877824707210635</v>
      </c>
      <c r="T255" s="21">
        <f t="shared" si="13"/>
        <v>184.375</v>
      </c>
      <c r="U255" s="21">
        <f t="shared" si="9"/>
        <v>27</v>
      </c>
      <c r="V255" s="21">
        <f t="shared" si="10"/>
        <v>9.145264264253596</v>
      </c>
      <c r="W255" s="21">
        <f t="shared" si="14"/>
        <v>17.854735735746402</v>
      </c>
      <c r="X255" s="21"/>
      <c r="Y255" s="23">
        <v>0.625</v>
      </c>
      <c r="Z255" s="18"/>
      <c r="AA255" s="18">
        <f t="shared" si="15"/>
        <v>17.245812472660187</v>
      </c>
      <c r="AB255" s="18">
        <f t="shared" si="16"/>
        <v>147.5</v>
      </c>
      <c r="AC255" s="18">
        <f t="shared" si="17"/>
        <v>9.7541875273398126</v>
      </c>
      <c r="AD255" s="18">
        <f t="shared" si="18"/>
        <v>147.5</v>
      </c>
      <c r="AE255" s="18">
        <f t="shared" si="19"/>
        <v>27</v>
      </c>
      <c r="AF255" s="18">
        <f t="shared" si="20"/>
        <v>17.245812472660187</v>
      </c>
    </row>
    <row r="256" spans="1:32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24">
        <f>-(C$210-ABS(J$210))+1.3*(C$210-ABS(J$210))</f>
        <v>44.25084741216321</v>
      </c>
      <c r="M256" s="24">
        <f t="shared" si="6"/>
        <v>191.74802270495258</v>
      </c>
      <c r="N256" s="24">
        <f t="shared" si="7"/>
        <v>27</v>
      </c>
      <c r="O256" s="21"/>
      <c r="P256" s="21">
        <f t="shared" si="8"/>
        <v>8.5787898438960308</v>
      </c>
      <c r="Q256" s="21">
        <f t="shared" si="11"/>
        <v>18.421210156103967</v>
      </c>
      <c r="R256" s="21"/>
      <c r="S256" s="21">
        <f t="shared" si="12"/>
        <v>44.252824707210635</v>
      </c>
      <c r="T256" s="21">
        <f t="shared" si="13"/>
        <v>191.75</v>
      </c>
      <c r="U256" s="21">
        <f t="shared" si="9"/>
        <v>27</v>
      </c>
      <c r="V256" s="21">
        <f t="shared" si="10"/>
        <v>8.8773253617226686</v>
      </c>
      <c r="W256" s="21">
        <f t="shared" si="14"/>
        <v>18.122674638277331</v>
      </c>
      <c r="X256" s="21"/>
      <c r="Y256" s="23">
        <v>0.65</v>
      </c>
      <c r="Z256" s="18"/>
      <c r="AA256" s="18">
        <f t="shared" si="15"/>
        <v>17.245812472660187</v>
      </c>
      <c r="AB256" s="18">
        <f t="shared" si="16"/>
        <v>147.5</v>
      </c>
      <c r="AC256" s="18">
        <f t="shared" si="17"/>
        <v>9.7541875273398126</v>
      </c>
      <c r="AD256" s="18">
        <f t="shared" si="18"/>
        <v>147.5</v>
      </c>
      <c r="AE256" s="18">
        <f t="shared" si="19"/>
        <v>27</v>
      </c>
      <c r="AF256" s="18">
        <f t="shared" si="20"/>
        <v>17.245812472660187</v>
      </c>
    </row>
    <row r="257" spans="1:32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24">
        <f>-(C$210-ABS(J$210))+1.35*(C$210-ABS(J$210))</f>
        <v>51.625988647523741</v>
      </c>
      <c r="M257" s="24">
        <f t="shared" si="6"/>
        <v>199.12316394031311</v>
      </c>
      <c r="N257" s="24">
        <f t="shared" si="7"/>
        <v>27</v>
      </c>
      <c r="O257" s="21"/>
      <c r="P257" s="21">
        <f t="shared" si="8"/>
        <v>8.2727434477517114</v>
      </c>
      <c r="Q257" s="21">
        <f t="shared" si="11"/>
        <v>18.727256552248289</v>
      </c>
      <c r="R257" s="21"/>
      <c r="S257" s="21">
        <f t="shared" si="12"/>
        <v>51.627824707210635</v>
      </c>
      <c r="T257" s="21">
        <f t="shared" si="13"/>
        <v>199.125</v>
      </c>
      <c r="U257" s="21">
        <f t="shared" si="9"/>
        <v>27</v>
      </c>
      <c r="V257" s="21">
        <f t="shared" si="10"/>
        <v>8.5606460700403275</v>
      </c>
      <c r="W257" s="21">
        <f t="shared" si="14"/>
        <v>18.439353929959672</v>
      </c>
      <c r="X257" s="21"/>
      <c r="Y257" s="23">
        <v>0.67500000000000004</v>
      </c>
      <c r="Z257" s="18"/>
      <c r="AA257" s="18">
        <f t="shared" si="15"/>
        <v>17.245812472660187</v>
      </c>
      <c r="AB257" s="18">
        <f t="shared" si="16"/>
        <v>147.5</v>
      </c>
      <c r="AC257" s="18">
        <f t="shared" si="17"/>
        <v>9.7541875273398126</v>
      </c>
      <c r="AD257" s="18">
        <f t="shared" si="18"/>
        <v>147.5</v>
      </c>
      <c r="AE257" s="18">
        <f t="shared" si="19"/>
        <v>27</v>
      </c>
      <c r="AF257" s="18">
        <f t="shared" si="20"/>
        <v>17.245812472660187</v>
      </c>
    </row>
    <row r="258" spans="1:32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24">
        <f>-(C$210-ABS(J$210))+1.4*(C$210-ABS(J$210))</f>
        <v>59.001129882884243</v>
      </c>
      <c r="M258" s="24">
        <f t="shared" si="6"/>
        <v>206.49830517567361</v>
      </c>
      <c r="N258" s="24">
        <f t="shared" si="7"/>
        <v>27</v>
      </c>
      <c r="O258" s="21"/>
      <c r="P258" s="21">
        <f t="shared" si="8"/>
        <v>7.9195794299577704</v>
      </c>
      <c r="Q258" s="21">
        <f t="shared" si="11"/>
        <v>19.080420570042229</v>
      </c>
      <c r="R258" s="21"/>
      <c r="S258" s="21">
        <f t="shared" si="12"/>
        <v>59.002824707210635</v>
      </c>
      <c r="T258" s="21">
        <f t="shared" si="13"/>
        <v>206.5</v>
      </c>
      <c r="U258" s="21">
        <f t="shared" si="9"/>
        <v>27</v>
      </c>
      <c r="V258" s="21">
        <f t="shared" si="10"/>
        <v>8.19521257931377</v>
      </c>
      <c r="W258" s="21">
        <f t="shared" si="14"/>
        <v>18.804787420686232</v>
      </c>
      <c r="X258" s="21"/>
      <c r="Y258" s="23">
        <v>0.7</v>
      </c>
      <c r="Z258" s="18"/>
      <c r="AA258" s="18">
        <f t="shared" si="15"/>
        <v>17.245812472660187</v>
      </c>
      <c r="AB258" s="18">
        <f t="shared" si="16"/>
        <v>147.5</v>
      </c>
      <c r="AC258" s="18">
        <f t="shared" si="17"/>
        <v>9.7541875273398126</v>
      </c>
      <c r="AD258" s="18">
        <f t="shared" si="18"/>
        <v>147.5</v>
      </c>
      <c r="AE258" s="18">
        <f t="shared" si="19"/>
        <v>27</v>
      </c>
      <c r="AF258" s="18">
        <f t="shared" si="20"/>
        <v>17.245812472660187</v>
      </c>
    </row>
    <row r="259" spans="1:32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21">
        <f>-(C$210-ABS(J$210))+1.45*(C$210-ABS(J$210))</f>
        <v>66.376271118244773</v>
      </c>
      <c r="M259" s="21">
        <f t="shared" si="6"/>
        <v>213.87344641103414</v>
      </c>
      <c r="N259" s="21">
        <f t="shared" si="7"/>
        <v>27</v>
      </c>
      <c r="O259" s="21"/>
      <c r="P259" s="21">
        <f t="shared" si="8"/>
        <v>7.5192834046999577</v>
      </c>
      <c r="Q259" s="21">
        <f t="shared" si="11"/>
        <v>19.480716595300041</v>
      </c>
      <c r="R259" s="21"/>
      <c r="S259" s="21">
        <f t="shared" si="12"/>
        <v>66.377824707210635</v>
      </c>
      <c r="T259" s="21">
        <f t="shared" si="13"/>
        <v>213.875</v>
      </c>
      <c r="U259" s="21">
        <f t="shared" si="9"/>
        <v>27</v>
      </c>
      <c r="V259" s="21">
        <f t="shared" si="10"/>
        <v>7.7810089535549993</v>
      </c>
      <c r="W259" s="21">
        <f t="shared" si="14"/>
        <v>19.218991046445002</v>
      </c>
      <c r="X259" s="21"/>
      <c r="Y259" s="23">
        <v>0.72499999999999998</v>
      </c>
      <c r="Z259" s="18"/>
      <c r="AA259" s="18">
        <f t="shared" si="15"/>
        <v>17.245812472660187</v>
      </c>
      <c r="AB259" s="18">
        <f t="shared" si="16"/>
        <v>147.5</v>
      </c>
      <c r="AC259" s="18">
        <f t="shared" si="17"/>
        <v>9.7541875273398126</v>
      </c>
      <c r="AD259" s="18">
        <f t="shared" si="18"/>
        <v>147.5</v>
      </c>
      <c r="AE259" s="18">
        <f t="shared" si="19"/>
        <v>27</v>
      </c>
      <c r="AF259" s="18">
        <f t="shared" si="20"/>
        <v>17.245812472660187</v>
      </c>
    </row>
    <row r="260" spans="1:32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21">
        <f>-(C$210-ABS(J$210))+1.5*(C$210-ABS(J$210))</f>
        <v>73.751412353605332</v>
      </c>
      <c r="M260" s="21">
        <f t="shared" si="6"/>
        <v>221.2485876463947</v>
      </c>
      <c r="N260" s="21">
        <f t="shared" si="7"/>
        <v>27</v>
      </c>
      <c r="O260" s="21"/>
      <c r="P260" s="21">
        <f t="shared" si="8"/>
        <v>7.0718390662834976</v>
      </c>
      <c r="Q260" s="21">
        <f t="shared" si="11"/>
        <v>19.928160933716502</v>
      </c>
      <c r="R260" s="21"/>
      <c r="S260" s="21">
        <f t="shared" si="12"/>
        <v>73.752824707210635</v>
      </c>
      <c r="T260" s="21">
        <f t="shared" si="13"/>
        <v>221.25</v>
      </c>
      <c r="U260" s="21">
        <f t="shared" si="9"/>
        <v>27</v>
      </c>
      <c r="V260" s="21">
        <f t="shared" si="10"/>
        <v>7.3180171299854964</v>
      </c>
      <c r="W260" s="21">
        <f t="shared" si="14"/>
        <v>19.681982870014505</v>
      </c>
      <c r="X260" s="21"/>
      <c r="Y260" s="23">
        <v>0.75</v>
      </c>
      <c r="Z260" s="18"/>
      <c r="AA260" s="18">
        <f t="shared" si="15"/>
        <v>17.245812472660187</v>
      </c>
      <c r="AB260" s="18">
        <f t="shared" si="16"/>
        <v>147.5</v>
      </c>
      <c r="AC260" s="18">
        <f t="shared" si="17"/>
        <v>9.7541875273398126</v>
      </c>
      <c r="AD260" s="18">
        <f t="shared" si="18"/>
        <v>147.5</v>
      </c>
      <c r="AE260" s="18">
        <f t="shared" si="19"/>
        <v>27</v>
      </c>
      <c r="AF260" s="18">
        <f t="shared" si="20"/>
        <v>17.245812472660187</v>
      </c>
    </row>
    <row r="261" spans="1:32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21">
        <f>-(C$210-ABS(J$210))+1.55*(C$210-ABS(J$210))</f>
        <v>81.126553588965862</v>
      </c>
      <c r="M261" s="21">
        <f t="shared" si="6"/>
        <v>228.62372888175523</v>
      </c>
      <c r="N261" s="21">
        <f t="shared" si="7"/>
        <v>27</v>
      </c>
      <c r="O261" s="21"/>
      <c r="P261" s="21">
        <f t="shared" si="8"/>
        <v>6.577228188471091</v>
      </c>
      <c r="Q261" s="21">
        <f t="shared" si="11"/>
        <v>20.422771811528911</v>
      </c>
      <c r="R261" s="21"/>
      <c r="S261" s="21">
        <f t="shared" si="12"/>
        <v>81.127824707210635</v>
      </c>
      <c r="T261" s="21">
        <f t="shared" si="13"/>
        <v>228.625</v>
      </c>
      <c r="U261" s="21">
        <f t="shared" si="9"/>
        <v>27</v>
      </c>
      <c r="V261" s="21">
        <f t="shared" si="10"/>
        <v>6.8062169182501124</v>
      </c>
      <c r="W261" s="21">
        <f t="shared" si="14"/>
        <v>20.193783081749888</v>
      </c>
      <c r="X261" s="21"/>
      <c r="Y261" s="23">
        <v>0.77500000000000002</v>
      </c>
      <c r="Z261" s="18"/>
      <c r="AA261" s="18">
        <f t="shared" si="15"/>
        <v>17.245812472660187</v>
      </c>
      <c r="AB261" s="18">
        <f t="shared" si="16"/>
        <v>147.5</v>
      </c>
      <c r="AC261" s="18">
        <f t="shared" si="17"/>
        <v>9.7541875273398126</v>
      </c>
      <c r="AD261" s="18">
        <f t="shared" si="18"/>
        <v>147.5</v>
      </c>
      <c r="AE261" s="18">
        <f t="shared" si="19"/>
        <v>27</v>
      </c>
      <c r="AF261" s="18">
        <f t="shared" si="20"/>
        <v>17.245812472660187</v>
      </c>
    </row>
    <row r="262" spans="1:32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21">
        <f>-(C$210-ABS(J$210))+1.6*(C$210-ABS(J$210))</f>
        <v>88.501694824326393</v>
      </c>
      <c r="M262" s="21">
        <f t="shared" si="6"/>
        <v>235.99887011711576</v>
      </c>
      <c r="N262" s="21">
        <f t="shared" si="7"/>
        <v>27</v>
      </c>
      <c r="O262" s="21"/>
      <c r="P262" s="21">
        <f t="shared" si="8"/>
        <v>6.0354306237385655</v>
      </c>
      <c r="Q262" s="21">
        <f t="shared" si="11"/>
        <v>20.964569376261434</v>
      </c>
      <c r="R262" s="21"/>
      <c r="S262" s="21">
        <f t="shared" si="12"/>
        <v>88.502824707210635</v>
      </c>
      <c r="T262" s="21">
        <f t="shared" si="13"/>
        <v>236</v>
      </c>
      <c r="U262" s="21">
        <f t="shared" si="9"/>
        <v>27</v>
      </c>
      <c r="V262" s="21">
        <f t="shared" si="10"/>
        <v>6.2455859995345131</v>
      </c>
      <c r="W262" s="21">
        <f t="shared" si="14"/>
        <v>20.754414000465488</v>
      </c>
      <c r="X262" s="21"/>
      <c r="Y262" s="23">
        <v>0.8</v>
      </c>
      <c r="Z262" s="18"/>
      <c r="AA262" s="18">
        <f t="shared" si="15"/>
        <v>17.245812472660187</v>
      </c>
      <c r="AB262" s="18">
        <f t="shared" si="16"/>
        <v>147.5</v>
      </c>
      <c r="AC262" s="18">
        <f t="shared" si="17"/>
        <v>9.7541875273398126</v>
      </c>
      <c r="AD262" s="18">
        <f t="shared" si="18"/>
        <v>147.5</v>
      </c>
      <c r="AE262" s="18">
        <f t="shared" si="19"/>
        <v>27</v>
      </c>
      <c r="AF262" s="18">
        <f t="shared" si="20"/>
        <v>17.245812472660187</v>
      </c>
    </row>
    <row r="263" spans="1:32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21">
        <f>-(C$210-ABS(J$210))+1.65*(C$210-ABS(J$210))</f>
        <v>95.876836059686894</v>
      </c>
      <c r="M263" s="21">
        <f t="shared" si="6"/>
        <v>243.37401135247626</v>
      </c>
      <c r="N263" s="21">
        <f t="shared" si="7"/>
        <v>27</v>
      </c>
      <c r="O263" s="21"/>
      <c r="P263" s="21">
        <f t="shared" si="8"/>
        <v>5.4464243024553394</v>
      </c>
      <c r="Q263" s="21">
        <f t="shared" si="11"/>
        <v>21.553575697544659</v>
      </c>
      <c r="R263" s="21"/>
      <c r="S263" s="21">
        <f t="shared" si="12"/>
        <v>95.877824707210635</v>
      </c>
      <c r="T263" s="21">
        <f t="shared" si="13"/>
        <v>243.375</v>
      </c>
      <c r="U263" s="21">
        <f t="shared" si="9"/>
        <v>27</v>
      </c>
      <c r="V263" s="21">
        <f t="shared" si="10"/>
        <v>5.6360999255930935</v>
      </c>
      <c r="W263" s="21">
        <f t="shared" si="14"/>
        <v>21.363900074406907</v>
      </c>
      <c r="X263" s="21"/>
      <c r="Y263" s="23">
        <v>0.82499999999999996</v>
      </c>
      <c r="Z263" s="18"/>
      <c r="AA263" s="18">
        <f t="shared" si="15"/>
        <v>17.245812472660187</v>
      </c>
      <c r="AB263" s="18">
        <f t="shared" si="16"/>
        <v>147.5</v>
      </c>
      <c r="AC263" s="18">
        <f t="shared" si="17"/>
        <v>9.7541875273398126</v>
      </c>
      <c r="AD263" s="18">
        <f t="shared" si="18"/>
        <v>147.5</v>
      </c>
      <c r="AE263" s="18">
        <f t="shared" si="19"/>
        <v>27</v>
      </c>
      <c r="AF263" s="18">
        <f t="shared" si="20"/>
        <v>17.245812472660187</v>
      </c>
    </row>
    <row r="264" spans="1:32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21">
        <f>-(C$210-ABS(J$210))+1.7*(C$210-ABS(J$210))</f>
        <v>103.25197729504742</v>
      </c>
      <c r="M264" s="21">
        <f t="shared" si="6"/>
        <v>250.74915258783679</v>
      </c>
      <c r="N264" s="21">
        <f t="shared" si="7"/>
        <v>27</v>
      </c>
      <c r="O264" s="21"/>
      <c r="P264" s="21">
        <f t="shared" si="8"/>
        <v>4.8101852319848293</v>
      </c>
      <c r="Q264" s="21">
        <f t="shared" si="11"/>
        <v>22.189814768015172</v>
      </c>
      <c r="R264" s="21"/>
      <c r="S264" s="21">
        <f t="shared" si="12"/>
        <v>103.25282470721064</v>
      </c>
      <c r="T264" s="21">
        <f t="shared" si="13"/>
        <v>250.75</v>
      </c>
      <c r="U264" s="21">
        <f t="shared" si="9"/>
        <v>27</v>
      </c>
      <c r="V264" s="21">
        <f t="shared" si="10"/>
        <v>4.9777321176836473</v>
      </c>
      <c r="W264" s="21">
        <f t="shared" si="14"/>
        <v>22.022267882316353</v>
      </c>
      <c r="X264" s="21"/>
      <c r="Y264" s="23">
        <v>0.85</v>
      </c>
      <c r="Z264" s="18"/>
      <c r="AA264" s="18">
        <f t="shared" si="15"/>
        <v>17.245812472660187</v>
      </c>
      <c r="AB264" s="18">
        <f t="shared" si="16"/>
        <v>147.5</v>
      </c>
      <c r="AC264" s="18">
        <f t="shared" si="17"/>
        <v>9.7541875273398126</v>
      </c>
      <c r="AD264" s="18">
        <f t="shared" si="18"/>
        <v>147.5</v>
      </c>
      <c r="AE264" s="18">
        <f t="shared" si="19"/>
        <v>27</v>
      </c>
      <c r="AF264" s="18">
        <f t="shared" si="20"/>
        <v>17.245812472660187</v>
      </c>
    </row>
    <row r="265" spans="1:32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21">
        <f>-(C$210-ABS(J$210))+1.75*(C$210-ABS(J$210))</f>
        <v>110.62711853040796</v>
      </c>
      <c r="M265" s="21">
        <f t="shared" si="6"/>
        <v>258.12429382319732</v>
      </c>
      <c r="N265" s="21">
        <f t="shared" si="7"/>
        <v>27</v>
      </c>
      <c r="O265" s="21"/>
      <c r="P265" s="21">
        <f t="shared" si="8"/>
        <v>4.1266874957078921</v>
      </c>
      <c r="Q265" s="21">
        <f t="shared" si="11"/>
        <v>22.873312504292109</v>
      </c>
      <c r="R265" s="21"/>
      <c r="S265" s="21">
        <f t="shared" si="12"/>
        <v>110.62782470721064</v>
      </c>
      <c r="T265" s="21">
        <f t="shared" si="13"/>
        <v>258.125</v>
      </c>
      <c r="U265" s="21">
        <f t="shared" si="9"/>
        <v>27</v>
      </c>
      <c r="V265" s="21">
        <f t="shared" si="10"/>
        <v>4.2704538654060826</v>
      </c>
      <c r="W265" s="21">
        <f t="shared" si="14"/>
        <v>22.729546134593917</v>
      </c>
      <c r="X265" s="21"/>
      <c r="Y265" s="23">
        <v>0.875</v>
      </c>
      <c r="Z265" s="18"/>
      <c r="AA265" s="18">
        <f t="shared" si="15"/>
        <v>17.245812472660187</v>
      </c>
      <c r="AB265" s="18">
        <f t="shared" si="16"/>
        <v>147.5</v>
      </c>
      <c r="AC265" s="18">
        <f t="shared" si="17"/>
        <v>9.7541875273398126</v>
      </c>
      <c r="AD265" s="18">
        <f t="shared" si="18"/>
        <v>147.5</v>
      </c>
      <c r="AE265" s="18">
        <f t="shared" si="19"/>
        <v>27</v>
      </c>
      <c r="AF265" s="18">
        <f t="shared" si="20"/>
        <v>17.245812472660187</v>
      </c>
    </row>
    <row r="266" spans="1:32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21">
        <f>-(C$210-ABS(J$210))+1.8*(C$210-ABS(J$210))</f>
        <v>118.00225976576851</v>
      </c>
      <c r="M266" s="21">
        <f t="shared" si="6"/>
        <v>265.49943505855788</v>
      </c>
      <c r="N266" s="21">
        <f t="shared" si="7"/>
        <v>27</v>
      </c>
      <c r="O266" s="21"/>
      <c r="P266" s="21">
        <f t="shared" si="8"/>
        <v>3.3959032519664545</v>
      </c>
      <c r="Q266" s="21">
        <f t="shared" si="11"/>
        <v>23.604096748033545</v>
      </c>
      <c r="R266" s="21"/>
      <c r="S266" s="21">
        <f t="shared" si="12"/>
        <v>118.00282470721064</v>
      </c>
      <c r="T266" s="21">
        <f t="shared" si="13"/>
        <v>265.5</v>
      </c>
      <c r="U266" s="21">
        <f t="shared" si="9"/>
        <v>27</v>
      </c>
      <c r="V266" s="21">
        <f t="shared" si="10"/>
        <v>3.5142343254518491</v>
      </c>
      <c r="W266" s="21">
        <f t="shared" si="14"/>
        <v>23.485765674548151</v>
      </c>
      <c r="X266" s="21"/>
      <c r="Y266" s="23">
        <v>0.9</v>
      </c>
      <c r="Z266" s="18"/>
      <c r="AA266" s="18">
        <f t="shared" si="15"/>
        <v>17.245812472660187</v>
      </c>
      <c r="AB266" s="18">
        <f t="shared" si="16"/>
        <v>147.5</v>
      </c>
      <c r="AC266" s="18">
        <f t="shared" si="17"/>
        <v>9.7541875273398126</v>
      </c>
      <c r="AD266" s="18">
        <f t="shared" si="18"/>
        <v>147.5</v>
      </c>
      <c r="AE266" s="18">
        <f t="shared" si="19"/>
        <v>27</v>
      </c>
      <c r="AF266" s="18">
        <f t="shared" si="20"/>
        <v>17.245812472660187</v>
      </c>
    </row>
    <row r="267" spans="1:32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21">
        <f>-(C$210-ABS(J$210))+1.85*(C$210-ABS(J$210))</f>
        <v>125.37740100112907</v>
      </c>
      <c r="M267" s="21">
        <f t="shared" si="6"/>
        <v>272.87457629391844</v>
      </c>
      <c r="N267" s="21">
        <f t="shared" si="7"/>
        <v>27</v>
      </c>
      <c r="O267" s="21"/>
      <c r="P267" s="21">
        <f t="shared" si="8"/>
        <v>2.6178027329294102</v>
      </c>
      <c r="Q267" s="21">
        <f t="shared" si="11"/>
        <v>24.382197267070591</v>
      </c>
      <c r="R267" s="21"/>
      <c r="S267" s="21">
        <f t="shared" si="12"/>
        <v>125.37782470721064</v>
      </c>
      <c r="T267" s="21">
        <f t="shared" si="13"/>
        <v>272.875</v>
      </c>
      <c r="U267" s="21">
        <f t="shared" si="9"/>
        <v>27</v>
      </c>
      <c r="V267" s="21">
        <f t="shared" si="10"/>
        <v>2.7090405202596379</v>
      </c>
      <c r="W267" s="21">
        <f t="shared" si="14"/>
        <v>24.290959479740362</v>
      </c>
      <c r="X267" s="21"/>
      <c r="Y267" s="23">
        <v>0.92500000000000004</v>
      </c>
      <c r="Z267" s="18"/>
      <c r="AA267" s="18">
        <f t="shared" si="15"/>
        <v>17.245812472660187</v>
      </c>
      <c r="AB267" s="18">
        <f t="shared" si="16"/>
        <v>147.5</v>
      </c>
      <c r="AC267" s="18">
        <f t="shared" si="17"/>
        <v>9.7541875273398126</v>
      </c>
      <c r="AD267" s="18">
        <f t="shared" si="18"/>
        <v>147.5</v>
      </c>
      <c r="AE267" s="18">
        <f t="shared" si="19"/>
        <v>27</v>
      </c>
      <c r="AF267" s="18">
        <f t="shared" si="20"/>
        <v>17.245812472660187</v>
      </c>
    </row>
    <row r="268" spans="1:32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21">
        <f>-(C$210-ABS(J$210))+1.9*(C$210-ABS(J$210))</f>
        <v>132.75254223648957</v>
      </c>
      <c r="M268" s="21">
        <f t="shared" si="6"/>
        <v>280.24971752927894</v>
      </c>
      <c r="N268" s="21">
        <f t="shared" si="7"/>
        <v>27</v>
      </c>
      <c r="O268" s="21"/>
      <c r="P268" s="21">
        <f t="shared" si="8"/>
        <v>1.7923542433802508</v>
      </c>
      <c r="Q268" s="21">
        <f t="shared" si="11"/>
        <v>25.207645756619748</v>
      </c>
      <c r="R268" s="21"/>
      <c r="S268" s="21">
        <f t="shared" si="12"/>
        <v>132.75282470721064</v>
      </c>
      <c r="T268" s="21">
        <f t="shared" si="13"/>
        <v>280.25</v>
      </c>
      <c r="U268" s="21">
        <f t="shared" si="9"/>
        <v>27</v>
      </c>
      <c r="V268" s="21">
        <f t="shared" si="10"/>
        <v>1.8548373365753577</v>
      </c>
      <c r="W268" s="21">
        <f t="shared" si="14"/>
        <v>25.145162663424642</v>
      </c>
      <c r="X268" s="21"/>
      <c r="Y268" s="23">
        <v>0.95</v>
      </c>
      <c r="Z268" s="18"/>
      <c r="AA268" s="18">
        <f t="shared" si="15"/>
        <v>17.245812472660187</v>
      </c>
      <c r="AB268" s="18">
        <f t="shared" si="16"/>
        <v>147.5</v>
      </c>
      <c r="AC268" s="18">
        <f t="shared" si="17"/>
        <v>9.7541875273398126</v>
      </c>
      <c r="AD268" s="18">
        <f t="shared" si="18"/>
        <v>147.5</v>
      </c>
      <c r="AE268" s="18">
        <f t="shared" si="19"/>
        <v>27</v>
      </c>
      <c r="AF268" s="18">
        <f t="shared" si="20"/>
        <v>17.245812472660187</v>
      </c>
    </row>
    <row r="269" spans="1:32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21">
        <f>-(C$210-ABS(J$210))+1.95*(C$210-ABS(J$210))</f>
        <v>140.12768347185008</v>
      </c>
      <c r="M269" s="21">
        <f t="shared" si="6"/>
        <v>287.62485876463944</v>
      </c>
      <c r="N269" s="21">
        <f t="shared" si="7"/>
        <v>27</v>
      </c>
      <c r="O269" s="21"/>
      <c r="P269" s="21">
        <f t="shared" si="8"/>
        <v>0.91952415942669663</v>
      </c>
      <c r="Q269" s="21">
        <f t="shared" si="11"/>
        <v>26.080475840573303</v>
      </c>
      <c r="R269" s="21"/>
      <c r="S269" s="21">
        <f t="shared" si="12"/>
        <v>140.12782470721064</v>
      </c>
      <c r="T269" s="21">
        <f t="shared" si="13"/>
        <v>287.625</v>
      </c>
      <c r="U269" s="21">
        <f t="shared" si="9"/>
        <v>27</v>
      </c>
      <c r="V269" s="21">
        <f t="shared" si="10"/>
        <v>0.95158752392209478</v>
      </c>
      <c r="W269" s="21">
        <f t="shared" si="14"/>
        <v>26.048412476077907</v>
      </c>
      <c r="X269" s="21"/>
      <c r="Y269" s="23">
        <v>0.97499999999999998</v>
      </c>
      <c r="Z269" s="18"/>
      <c r="AA269" s="18">
        <f t="shared" si="15"/>
        <v>17.245812472660187</v>
      </c>
      <c r="AB269" s="18">
        <f t="shared" si="16"/>
        <v>147.5</v>
      </c>
      <c r="AC269" s="18">
        <f t="shared" si="17"/>
        <v>9.7541875273398126</v>
      </c>
      <c r="AD269" s="18">
        <f t="shared" si="18"/>
        <v>147.5</v>
      </c>
      <c r="AE269" s="18">
        <f t="shared" si="19"/>
        <v>27</v>
      </c>
      <c r="AF269" s="18">
        <f t="shared" si="20"/>
        <v>17.245812472660187</v>
      </c>
    </row>
    <row r="270" spans="1:32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21">
        <f>-(C$210-ABS(J$210))+2*(C$210-ABS(J$210))</f>
        <v>147.50282470721064</v>
      </c>
      <c r="M270" s="21">
        <f t="shared" si="6"/>
        <v>295</v>
      </c>
      <c r="N270" s="21">
        <f t="shared" si="7"/>
        <v>27</v>
      </c>
      <c r="O270" s="21"/>
      <c r="P270" s="21">
        <f t="shared" si="8"/>
        <v>-7.2307287101021182E-4</v>
      </c>
      <c r="Q270" s="21">
        <f t="shared" si="11"/>
        <v>27.000723072871011</v>
      </c>
      <c r="R270" s="21"/>
      <c r="S270" s="21">
        <f t="shared" si="12"/>
        <v>147.50282470721064</v>
      </c>
      <c r="T270" s="21">
        <f t="shared" si="13"/>
        <v>295</v>
      </c>
      <c r="U270" s="21">
        <f t="shared" si="9"/>
        <v>27</v>
      </c>
      <c r="V270" s="21">
        <f t="shared" si="10"/>
        <v>-7.4830702416059662E-4</v>
      </c>
      <c r="W270" s="21">
        <f t="shared" si="14"/>
        <v>27.000748307024161</v>
      </c>
      <c r="X270" s="21"/>
      <c r="Y270" s="23">
        <v>1</v>
      </c>
      <c r="Z270" s="18"/>
      <c r="AA270" s="18">
        <f t="shared" si="15"/>
        <v>17.245812472660187</v>
      </c>
      <c r="AB270" s="18">
        <f t="shared" si="16"/>
        <v>147.5</v>
      </c>
      <c r="AC270" s="18">
        <f t="shared" si="17"/>
        <v>9.7541875273398126</v>
      </c>
      <c r="AD270" s="18">
        <f t="shared" si="18"/>
        <v>147.5</v>
      </c>
      <c r="AE270" s="18">
        <f t="shared" si="19"/>
        <v>27</v>
      </c>
      <c r="AF270" s="18">
        <f t="shared" si="20"/>
        <v>17.245812472660187</v>
      </c>
    </row>
    <row r="271" spans="1:32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>
        <v>0</v>
      </c>
      <c r="AB271" s="18">
        <f>AB270</f>
        <v>147.5</v>
      </c>
      <c r="AC271" s="18">
        <v>0</v>
      </c>
      <c r="AD271" s="18">
        <f>AD270</f>
        <v>147.5</v>
      </c>
      <c r="AE271" s="18">
        <v>0</v>
      </c>
      <c r="AF271" s="18"/>
    </row>
  </sheetData>
  <sheetProtection algorithmName="SHA-512" hashValue="w8kHleQIFvN0wPJCs36dUQszR8SQLKrXZ+mFSsYOO1Uz+zYybUbmN9MpWd4wQH84MwnraGSzKAGsE5XuvaFXRg==" saltValue="R38WJNuoh96n/KhhkF9udA==" spinCount="100000" sheet="1" objects="1" scenarios="1"/>
  <mergeCells count="5">
    <mergeCell ref="L36:R36"/>
    <mergeCell ref="M45:S45"/>
    <mergeCell ref="L46:S46"/>
    <mergeCell ref="M47:S47"/>
    <mergeCell ref="L48:S48"/>
  </mergeCells>
  <conditionalFormatting sqref="E1">
    <cfRule type="containsText" dxfId="5" priority="3" operator="containsText" text="Höhendifferenz">
      <formula>NOT(ISERROR(SEARCH("Höhendifferenz",E1)))</formula>
    </cfRule>
    <cfRule type="containsText" dxfId="4" priority="10" operator="containsText" text="Höhendifferenz">
      <formula>NOT(ISERROR(SEARCH("Höhendifferenz",E1)))</formula>
    </cfRule>
  </conditionalFormatting>
  <conditionalFormatting sqref="G1">
    <cfRule type="containsText" dxfId="3" priority="2" operator="containsText" text="Temperatur">
      <formula>NOT(ISERROR(SEARCH("Temperatur",G1)))</formula>
    </cfRule>
    <cfRule type="containsText" dxfId="2" priority="9" operator="containsText" text="Temperatur">
      <formula>NOT(ISERROR(SEARCH("Temperatur",G1)))</formula>
    </cfRule>
  </conditionalFormatting>
  <conditionalFormatting sqref="H1">
    <cfRule type="containsText" dxfId="1" priority="1" operator="containsText" text="Leitermaterial">
      <formula>NOT(ISERROR(SEARCH("Leitermaterial",H1)))</formula>
    </cfRule>
    <cfRule type="containsText" dxfId="0" priority="8" operator="containsText" text="Leitermaterial">
      <formula>NOT(ISERROR(SEARCH("Leitermaterial",H1)))</formula>
    </cfRule>
  </conditionalFormatting>
  <conditionalFormatting sqref="B6">
    <cfRule type="iconSet" priority="4">
      <iconSet>
        <cfvo type="percent" val="0"/>
        <cfvo type="num" val="0" gte="0"/>
        <cfvo type="num" val="6"/>
      </iconSet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1</xdr:col>
                    <xdr:colOff>266700</xdr:colOff>
                    <xdr:row>1</xdr:row>
                    <xdr:rowOff>0</xdr:rowOff>
                  </from>
                  <to>
                    <xdr:col>1</xdr:col>
                    <xdr:colOff>1130300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2</xdr:col>
                    <xdr:colOff>76200</xdr:colOff>
                    <xdr:row>1</xdr:row>
                    <xdr:rowOff>12700</xdr:rowOff>
                  </from>
                  <to>
                    <xdr:col>2</xdr:col>
                    <xdr:colOff>850900</xdr:colOff>
                    <xdr:row>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croll Bar 7">
              <controlPr defaultSize="0" autoPict="0">
                <anchor moveWithCells="1">
                  <from>
                    <xdr:col>4</xdr:col>
                    <xdr:colOff>114300</xdr:colOff>
                    <xdr:row>0</xdr:row>
                    <xdr:rowOff>177800</xdr:rowOff>
                  </from>
                  <to>
                    <xdr:col>4</xdr:col>
                    <xdr:colOff>1574800</xdr:colOff>
                    <xdr:row>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croll Bar 8">
              <controlPr defaultSize="0" autoPict="0">
                <anchor moveWithCells="1">
                  <from>
                    <xdr:col>6</xdr:col>
                    <xdr:colOff>101600</xdr:colOff>
                    <xdr:row>1</xdr:row>
                    <xdr:rowOff>0</xdr:rowOff>
                  </from>
                  <to>
                    <xdr:col>6</xdr:col>
                    <xdr:colOff>1206500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Scroll Bar 9">
              <controlPr defaultSize="0" autoPict="0">
                <anchor moveWithCells="1">
                  <from>
                    <xdr:col>7</xdr:col>
                    <xdr:colOff>38100</xdr:colOff>
                    <xdr:row>1</xdr:row>
                    <xdr:rowOff>0</xdr:rowOff>
                  </from>
                  <to>
                    <xdr:col>7</xdr:col>
                    <xdr:colOff>1676400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Scroll Bar 10">
              <controlPr defaultSize="0" autoPict="0">
                <anchor moveWithCells="1">
                  <from>
                    <xdr:col>0</xdr:col>
                    <xdr:colOff>88900</xdr:colOff>
                    <xdr:row>1</xdr:row>
                    <xdr:rowOff>0</xdr:rowOff>
                  </from>
                  <to>
                    <xdr:col>0</xdr:col>
                    <xdr:colOff>1892300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T196"/>
  <sheetViews>
    <sheetView zoomScale="120" zoomScaleNormal="120" workbookViewId="0">
      <selection sqref="A1:XFD1048576"/>
    </sheetView>
  </sheetViews>
  <sheetFormatPr baseColWidth="10" defaultColWidth="11" defaultRowHeight="15" x14ac:dyDescent="0.2"/>
  <cols>
    <col min="1" max="16384" width="11" style="3"/>
  </cols>
  <sheetData>
    <row r="1" spans="1:20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8"/>
      <c r="N1" s="8"/>
      <c r="O1" s="8"/>
      <c r="P1" s="8"/>
      <c r="Q1" s="8"/>
      <c r="R1" s="8"/>
      <c r="S1" s="8"/>
      <c r="T1" s="9"/>
    </row>
    <row r="2" spans="1:2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8"/>
      <c r="N2" s="8"/>
      <c r="O2" s="8"/>
      <c r="P2" s="8"/>
      <c r="Q2" s="8"/>
      <c r="R2" s="8"/>
      <c r="S2" s="8"/>
      <c r="T2" s="9"/>
    </row>
    <row r="3" spans="1:20" x14ac:dyDescent="0.2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8"/>
      <c r="N3" s="8"/>
      <c r="O3" s="8"/>
      <c r="P3" s="8"/>
      <c r="Q3" s="8"/>
      <c r="R3" s="8"/>
      <c r="S3" s="8"/>
      <c r="T3" s="9"/>
    </row>
    <row r="4" spans="1:20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8"/>
      <c r="N4" s="8"/>
      <c r="O4" s="8"/>
      <c r="P4" s="8"/>
      <c r="Q4" s="8"/>
      <c r="R4" s="8"/>
      <c r="S4" s="8"/>
      <c r="T4" s="9"/>
    </row>
    <row r="5" spans="1:20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8"/>
      <c r="N5" s="10">
        <v>75</v>
      </c>
      <c r="O5" s="11"/>
      <c r="P5" s="8"/>
      <c r="Q5" s="8"/>
      <c r="R5" s="8"/>
      <c r="S5" s="8"/>
      <c r="T5" s="9"/>
    </row>
    <row r="6" spans="1:20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8"/>
      <c r="N6" s="8"/>
      <c r="O6" s="8"/>
      <c r="P6" s="8"/>
      <c r="Q6" s="8"/>
      <c r="R6" s="8"/>
      <c r="S6" s="8"/>
      <c r="T6" s="9"/>
    </row>
    <row r="7" spans="1:20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1"/>
      <c r="N7" s="8"/>
      <c r="O7" s="8"/>
      <c r="P7" s="8"/>
      <c r="Q7" s="8"/>
      <c r="R7" s="8"/>
      <c r="S7" s="11"/>
      <c r="T7" s="9"/>
    </row>
    <row r="8" spans="1:20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8"/>
      <c r="N8" s="8"/>
      <c r="O8" s="8"/>
      <c r="P8" s="8"/>
      <c r="Q8" s="8"/>
      <c r="R8" s="8"/>
      <c r="S8" s="8"/>
      <c r="T8" s="9"/>
    </row>
    <row r="9" spans="1:20" x14ac:dyDescent="0.2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8"/>
      <c r="N9" s="8"/>
      <c r="O9" s="8"/>
      <c r="P9" s="8"/>
      <c r="Q9" s="8"/>
      <c r="R9" s="8"/>
      <c r="S9" s="8"/>
      <c r="T9" s="9"/>
    </row>
    <row r="10" spans="1:20" x14ac:dyDescent="0.2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8"/>
      <c r="N10" s="8"/>
      <c r="O10" s="8"/>
      <c r="P10" s="8"/>
      <c r="Q10" s="8"/>
      <c r="R10" s="8"/>
      <c r="S10" s="8"/>
      <c r="T10" s="9"/>
    </row>
    <row r="11" spans="1:20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8"/>
      <c r="N11" s="8"/>
      <c r="O11" s="8"/>
      <c r="P11" s="8"/>
      <c r="Q11" s="8"/>
      <c r="R11" s="8"/>
      <c r="S11" s="8"/>
      <c r="T11" s="9"/>
    </row>
    <row r="12" spans="1:20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8"/>
      <c r="N12" s="8"/>
      <c r="O12" s="8"/>
      <c r="P12" s="8"/>
      <c r="Q12" s="8"/>
      <c r="R12" s="8"/>
      <c r="S12" s="8"/>
      <c r="T12" s="9"/>
    </row>
    <row r="13" spans="1:20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8"/>
      <c r="N13" s="8"/>
      <c r="O13" s="8"/>
      <c r="P13" s="8"/>
      <c r="Q13" s="8"/>
      <c r="R13" s="8"/>
      <c r="S13" s="8"/>
      <c r="T13" s="9"/>
    </row>
    <row r="14" spans="1:20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8"/>
      <c r="N14" s="8"/>
      <c r="O14" s="8"/>
      <c r="P14" s="8"/>
      <c r="Q14" s="8"/>
      <c r="R14" s="8"/>
      <c r="S14" s="8"/>
      <c r="T14" s="9"/>
    </row>
    <row r="15" spans="1:20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8"/>
      <c r="N15" s="8"/>
      <c r="O15" s="8"/>
      <c r="P15" s="8"/>
      <c r="Q15" s="8"/>
      <c r="R15" s="8"/>
      <c r="S15" s="8"/>
      <c r="T15" s="9"/>
    </row>
    <row r="16" spans="1:20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9"/>
    </row>
    <row r="17" spans="1:20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8"/>
      <c r="N17" s="8"/>
      <c r="O17" s="8"/>
      <c r="P17" s="8"/>
      <c r="Q17" s="8"/>
      <c r="R17" s="8"/>
      <c r="S17" s="8"/>
      <c r="T17" s="9"/>
    </row>
    <row r="18" spans="1:20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8"/>
      <c r="N18" s="8"/>
      <c r="O18" s="8"/>
      <c r="P18" s="8"/>
      <c r="Q18" s="8"/>
      <c r="R18" s="8"/>
      <c r="S18" s="8"/>
      <c r="T18" s="9"/>
    </row>
    <row r="19" spans="1:2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8"/>
      <c r="N19" s="8"/>
      <c r="O19" s="8"/>
      <c r="P19" s="8"/>
      <c r="Q19" s="8"/>
      <c r="R19" s="8"/>
      <c r="S19" s="8"/>
      <c r="T19" s="9"/>
    </row>
    <row r="20" spans="1:2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8"/>
      <c r="N20" s="8"/>
      <c r="O20" s="8"/>
      <c r="P20" s="8"/>
      <c r="Q20" s="8"/>
      <c r="R20" s="8"/>
      <c r="S20" s="8"/>
      <c r="T20" s="9"/>
    </row>
    <row r="21" spans="1:2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8"/>
      <c r="N21" s="8"/>
      <c r="O21" s="8"/>
      <c r="P21" s="8"/>
      <c r="Q21" s="8"/>
      <c r="R21" s="8"/>
      <c r="S21" s="8"/>
      <c r="T21" s="12"/>
    </row>
    <row r="22" spans="1:2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8"/>
      <c r="N22" s="8"/>
      <c r="O22" s="8"/>
      <c r="P22" s="8"/>
      <c r="Q22" s="8"/>
      <c r="R22" s="8"/>
      <c r="S22" s="8"/>
      <c r="T22" s="12"/>
    </row>
    <row r="23" spans="1:2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8"/>
      <c r="N23" s="8"/>
      <c r="O23" s="8"/>
      <c r="P23" s="8"/>
      <c r="Q23" s="8"/>
      <c r="R23" s="8"/>
      <c r="S23" s="8"/>
      <c r="T23" s="9"/>
    </row>
    <row r="24" spans="1:2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8"/>
      <c r="N24" s="8"/>
      <c r="O24" s="8"/>
      <c r="P24" s="8"/>
      <c r="Q24" s="8"/>
      <c r="R24" s="8"/>
      <c r="S24" s="8"/>
      <c r="T24" s="9"/>
    </row>
    <row r="25" spans="1:2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8"/>
      <c r="N25" s="8"/>
      <c r="O25" s="8"/>
      <c r="P25" s="8"/>
      <c r="Q25" s="8"/>
      <c r="R25" s="8"/>
      <c r="S25" s="8"/>
      <c r="T25" s="9"/>
    </row>
    <row r="26" spans="1:2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8" t="s">
        <v>29</v>
      </c>
      <c r="N26" s="8"/>
      <c r="O26" s="8"/>
      <c r="P26" s="8"/>
      <c r="Q26" s="8"/>
      <c r="R26" s="8"/>
      <c r="S26" s="8"/>
      <c r="T26" s="9"/>
    </row>
    <row r="27" spans="1:2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8"/>
      <c r="N27" s="8"/>
      <c r="O27" s="8"/>
      <c r="P27" s="8"/>
      <c r="Q27" s="8"/>
      <c r="R27" s="8"/>
      <c r="S27" s="8"/>
      <c r="T27" s="9"/>
    </row>
    <row r="28" spans="1:2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8"/>
      <c r="N28" s="9"/>
      <c r="O28" s="8"/>
      <c r="P28" s="8"/>
      <c r="Q28" s="8"/>
      <c r="R28" s="8"/>
      <c r="S28" s="8"/>
      <c r="T28" s="9"/>
    </row>
    <row r="29" spans="1:2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8"/>
      <c r="N29" s="8"/>
      <c r="O29" s="8"/>
      <c r="P29" s="8"/>
      <c r="Q29" s="8"/>
      <c r="R29" s="8"/>
      <c r="S29" s="8"/>
      <c r="T29" s="9"/>
    </row>
    <row r="30" spans="1:2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8"/>
      <c r="N30" s="8"/>
      <c r="O30" s="8"/>
      <c r="P30" s="8"/>
      <c r="Q30" s="8"/>
      <c r="R30" s="8"/>
      <c r="S30" s="8"/>
      <c r="T30" s="9"/>
    </row>
    <row r="31" spans="1:2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8"/>
      <c r="N31" s="8"/>
      <c r="O31" s="8"/>
      <c r="P31" s="8"/>
      <c r="Q31" s="8"/>
      <c r="R31" s="8"/>
      <c r="S31" s="8"/>
      <c r="T31" s="9"/>
    </row>
    <row r="32" spans="1:2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8"/>
      <c r="N32" s="8"/>
      <c r="O32" s="8"/>
      <c r="P32" s="8"/>
      <c r="Q32" s="8"/>
      <c r="R32" s="8"/>
      <c r="S32" s="8"/>
      <c r="T32" s="9"/>
    </row>
    <row r="33" spans="1:2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8"/>
      <c r="N33" s="8"/>
      <c r="O33" s="8"/>
      <c r="P33" s="8"/>
      <c r="Q33" s="8"/>
      <c r="R33" s="8"/>
      <c r="S33" s="8"/>
      <c r="T33" s="9"/>
    </row>
    <row r="34" spans="1:2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8"/>
      <c r="N34" s="8"/>
      <c r="O34" s="8"/>
      <c r="P34" s="8"/>
      <c r="Q34" s="8"/>
      <c r="R34" s="8"/>
      <c r="S34" s="8"/>
      <c r="T34" s="9"/>
    </row>
    <row r="35" spans="1:2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2"/>
      <c r="N35" s="12"/>
      <c r="O35" s="12"/>
      <c r="P35" s="9"/>
      <c r="Q35" s="9"/>
      <c r="R35" s="9"/>
      <c r="S35" s="9"/>
      <c r="T35" s="9"/>
    </row>
    <row r="36" spans="1:2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5"/>
      <c r="N36" s="25"/>
      <c r="O36" s="25"/>
      <c r="P36" s="25"/>
      <c r="Q36" s="25"/>
      <c r="R36" s="25"/>
      <c r="S36" s="25"/>
      <c r="T36" s="9"/>
    </row>
    <row r="37" spans="1:2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3"/>
      <c r="N37" s="8"/>
      <c r="O37" s="8"/>
      <c r="P37" s="8"/>
      <c r="Q37" s="8"/>
      <c r="R37" s="8"/>
      <c r="S37" s="8"/>
      <c r="T37" s="9"/>
    </row>
    <row r="38" spans="1:2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2"/>
      <c r="N38" s="12"/>
      <c r="O38" s="12"/>
      <c r="P38" s="9"/>
      <c r="Q38" s="9"/>
      <c r="R38" s="9"/>
      <c r="S38" s="9"/>
      <c r="T38" s="9"/>
    </row>
    <row r="39" spans="1:2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2"/>
      <c r="N39" s="12"/>
      <c r="O39" s="12"/>
      <c r="P39" s="9"/>
      <c r="Q39" s="9"/>
      <c r="R39" s="9"/>
      <c r="S39" s="9"/>
      <c r="T39" s="9"/>
    </row>
    <row r="40" spans="1:20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2"/>
      <c r="N40" s="12"/>
      <c r="O40" s="12"/>
      <c r="P40" s="9"/>
      <c r="Q40" s="9"/>
      <c r="R40" s="9"/>
      <c r="S40" s="9"/>
      <c r="T40" s="9"/>
    </row>
    <row r="41" spans="1:20" x14ac:dyDescent="0.2">
      <c r="M41" s="12"/>
      <c r="N41" s="12"/>
      <c r="O41" s="12"/>
      <c r="P41" s="9"/>
      <c r="Q41" s="9"/>
      <c r="R41" s="9"/>
      <c r="S41" s="9"/>
      <c r="T41" s="9"/>
    </row>
    <row r="42" spans="1:20" x14ac:dyDescent="0.2">
      <c r="M42" s="12"/>
      <c r="N42" s="12"/>
      <c r="O42" s="12"/>
      <c r="P42" s="9"/>
      <c r="Q42" s="9"/>
      <c r="R42" s="9"/>
      <c r="S42" s="9"/>
      <c r="T42" s="9"/>
    </row>
    <row r="43" spans="1:20" x14ac:dyDescent="0.2">
      <c r="M43" s="12"/>
      <c r="N43" s="12"/>
      <c r="O43" s="12"/>
      <c r="P43" s="9"/>
      <c r="Q43" s="9"/>
      <c r="R43" s="9"/>
      <c r="S43" s="9"/>
      <c r="T43" s="9"/>
    </row>
    <row r="44" spans="1:20" x14ac:dyDescent="0.2">
      <c r="M44" s="12"/>
      <c r="N44" s="12"/>
      <c r="O44" s="12"/>
      <c r="P44" s="9"/>
      <c r="Q44" s="9"/>
      <c r="R44" s="9"/>
      <c r="S44" s="9"/>
      <c r="T44" s="9"/>
    </row>
    <row r="45" spans="1:20" x14ac:dyDescent="0.2">
      <c r="M45" s="12"/>
      <c r="N45" s="25" t="s">
        <v>30</v>
      </c>
      <c r="O45" s="25"/>
      <c r="P45" s="25"/>
      <c r="Q45" s="25"/>
      <c r="R45" s="25"/>
      <c r="S45" s="25"/>
      <c r="T45" s="25"/>
    </row>
    <row r="46" spans="1:20" x14ac:dyDescent="0.2">
      <c r="M46" s="26" t="s">
        <v>31</v>
      </c>
      <c r="N46" s="26"/>
      <c r="O46" s="26"/>
      <c r="P46" s="26"/>
      <c r="Q46" s="26"/>
      <c r="R46" s="26"/>
      <c r="S46" s="26"/>
      <c r="T46" s="26"/>
    </row>
    <row r="47" spans="1:20" x14ac:dyDescent="0.2">
      <c r="M47" s="12"/>
      <c r="N47" s="12"/>
      <c r="O47" s="12"/>
      <c r="P47" s="9"/>
      <c r="Q47" s="9"/>
      <c r="R47" s="9"/>
      <c r="S47" s="9"/>
      <c r="T47" s="9"/>
    </row>
    <row r="48" spans="1:20" x14ac:dyDescent="0.2">
      <c r="M48" s="12"/>
      <c r="N48" s="12"/>
      <c r="O48" s="12"/>
      <c r="P48" s="9"/>
      <c r="Q48" s="9"/>
      <c r="R48" s="9"/>
      <c r="S48" s="9"/>
      <c r="T48" s="9"/>
    </row>
    <row r="49" spans="13:20" x14ac:dyDescent="0.2">
      <c r="M49" s="12"/>
      <c r="N49" s="12"/>
      <c r="O49" s="12"/>
      <c r="P49" s="9"/>
      <c r="Q49" s="9"/>
      <c r="R49" s="9"/>
      <c r="S49" s="9"/>
      <c r="T49" s="9"/>
    </row>
    <row r="50" spans="13:20" x14ac:dyDescent="0.2">
      <c r="M50" s="9"/>
      <c r="N50" s="9"/>
      <c r="O50" s="9"/>
      <c r="P50" s="9"/>
      <c r="Q50" s="9"/>
      <c r="R50" s="9"/>
      <c r="S50" s="9"/>
      <c r="T50" s="9"/>
    </row>
    <row r="51" spans="13:20" x14ac:dyDescent="0.2">
      <c r="M51" s="9"/>
      <c r="N51" s="9"/>
      <c r="O51" s="9"/>
      <c r="P51" s="9"/>
      <c r="Q51" s="9"/>
      <c r="R51" s="9"/>
      <c r="S51" s="9"/>
      <c r="T51" s="9"/>
    </row>
    <row r="52" spans="13:20" x14ac:dyDescent="0.2">
      <c r="M52" s="9"/>
      <c r="N52" s="9"/>
      <c r="O52" s="9"/>
      <c r="P52" s="9"/>
      <c r="Q52" s="9"/>
      <c r="R52" s="9"/>
      <c r="S52" s="9"/>
      <c r="T52" s="9"/>
    </row>
    <row r="53" spans="13:20" x14ac:dyDescent="0.2">
      <c r="M53" s="9"/>
      <c r="N53" s="9"/>
      <c r="O53" s="9"/>
      <c r="P53" s="9"/>
      <c r="Q53" s="9"/>
      <c r="R53" s="9"/>
      <c r="S53" s="9"/>
      <c r="T53" s="9"/>
    </row>
    <row r="54" spans="13:20" x14ac:dyDescent="0.2">
      <c r="M54" s="9"/>
      <c r="N54" s="9"/>
      <c r="O54" s="9"/>
      <c r="P54" s="9"/>
      <c r="Q54" s="9"/>
      <c r="R54" s="9"/>
      <c r="S54" s="9"/>
      <c r="T54" s="9"/>
    </row>
    <row r="55" spans="13:20" x14ac:dyDescent="0.2">
      <c r="M55" s="9"/>
      <c r="N55" s="9"/>
      <c r="O55" s="9"/>
      <c r="P55" s="9"/>
      <c r="Q55" s="9"/>
      <c r="R55" s="9"/>
      <c r="S55" s="9"/>
      <c r="T55" s="9"/>
    </row>
    <row r="56" spans="13:20" x14ac:dyDescent="0.2">
      <c r="M56" s="9"/>
      <c r="N56" s="9"/>
      <c r="O56" s="9"/>
      <c r="P56" s="9"/>
      <c r="Q56" s="9"/>
      <c r="R56" s="9"/>
      <c r="S56" s="9"/>
      <c r="T56" s="9"/>
    </row>
    <row r="57" spans="13:20" x14ac:dyDescent="0.2">
      <c r="M57" s="9"/>
      <c r="N57" s="9"/>
      <c r="O57" s="9"/>
      <c r="P57" s="9"/>
      <c r="Q57" s="9"/>
      <c r="R57" s="9"/>
      <c r="S57" s="9"/>
      <c r="T57" s="9"/>
    </row>
    <row r="58" spans="13:20" x14ac:dyDescent="0.2">
      <c r="M58" s="9"/>
      <c r="N58" s="9"/>
      <c r="O58" s="9"/>
      <c r="P58" s="9"/>
      <c r="Q58" s="9"/>
      <c r="R58" s="9"/>
      <c r="S58" s="9"/>
      <c r="T58" s="9"/>
    </row>
    <row r="59" spans="13:20" x14ac:dyDescent="0.2">
      <c r="M59" s="9"/>
      <c r="N59" s="9"/>
      <c r="O59" s="9"/>
      <c r="P59" s="9"/>
      <c r="Q59" s="9"/>
      <c r="R59" s="9"/>
      <c r="S59" s="9"/>
      <c r="T59" s="9"/>
    </row>
    <row r="60" spans="13:20" x14ac:dyDescent="0.2">
      <c r="M60" s="9"/>
      <c r="N60" s="9"/>
      <c r="O60" s="9"/>
      <c r="P60" s="9"/>
      <c r="Q60" s="9"/>
      <c r="R60" s="9"/>
      <c r="S60" s="9"/>
      <c r="T60" s="9"/>
    </row>
    <row r="61" spans="13:20" x14ac:dyDescent="0.2">
      <c r="M61" s="9"/>
      <c r="N61" s="9"/>
      <c r="O61" s="9"/>
      <c r="P61" s="9"/>
      <c r="Q61" s="9"/>
      <c r="R61" s="9"/>
      <c r="S61" s="9"/>
      <c r="T61" s="9"/>
    </row>
    <row r="62" spans="13:20" x14ac:dyDescent="0.2">
      <c r="M62" s="9"/>
      <c r="N62" s="9"/>
      <c r="O62" s="9"/>
      <c r="P62" s="9"/>
      <c r="Q62" s="9"/>
      <c r="R62" s="9"/>
      <c r="S62" s="9"/>
      <c r="T62" s="9"/>
    </row>
    <row r="63" spans="13:20" x14ac:dyDescent="0.2">
      <c r="M63" s="9"/>
      <c r="N63" s="9"/>
      <c r="O63" s="9"/>
      <c r="P63" s="9"/>
      <c r="Q63" s="9"/>
      <c r="R63" s="9"/>
      <c r="S63" s="9"/>
      <c r="T63" s="9"/>
    </row>
    <row r="64" spans="13:20" x14ac:dyDescent="0.2">
      <c r="M64" s="9"/>
      <c r="N64" s="9"/>
      <c r="O64" s="9"/>
      <c r="P64" s="9"/>
      <c r="Q64" s="9"/>
      <c r="R64" s="9"/>
      <c r="S64" s="9"/>
      <c r="T64" s="9"/>
    </row>
    <row r="65" spans="13:20" x14ac:dyDescent="0.2">
      <c r="M65" s="9"/>
      <c r="N65" s="9"/>
      <c r="O65" s="9"/>
      <c r="P65" s="9"/>
      <c r="Q65" s="9"/>
      <c r="R65" s="9"/>
      <c r="S65" s="9"/>
      <c r="T65" s="9"/>
    </row>
    <row r="66" spans="13:20" x14ac:dyDescent="0.2">
      <c r="M66" s="9"/>
      <c r="N66" s="9"/>
      <c r="O66" s="9"/>
      <c r="P66" s="9"/>
      <c r="Q66" s="9"/>
      <c r="R66" s="9"/>
      <c r="S66" s="9"/>
      <c r="T66" s="9"/>
    </row>
    <row r="67" spans="13:20" x14ac:dyDescent="0.2">
      <c r="M67" s="9"/>
      <c r="N67" s="9"/>
      <c r="O67" s="9"/>
      <c r="P67" s="9"/>
      <c r="Q67" s="9"/>
      <c r="R67" s="9"/>
      <c r="S67" s="9"/>
      <c r="T67" s="9"/>
    </row>
    <row r="68" spans="13:20" x14ac:dyDescent="0.2">
      <c r="M68" s="9"/>
      <c r="N68" s="9"/>
      <c r="O68" s="9"/>
      <c r="P68" s="9"/>
      <c r="Q68" s="9"/>
      <c r="R68" s="9"/>
      <c r="S68" s="9"/>
      <c r="T68" s="9"/>
    </row>
    <row r="69" spans="13:20" x14ac:dyDescent="0.2">
      <c r="M69" s="9"/>
      <c r="N69" s="9"/>
      <c r="O69" s="9"/>
      <c r="P69" s="9"/>
      <c r="Q69" s="9"/>
      <c r="R69" s="9"/>
      <c r="S69" s="9"/>
      <c r="T69" s="9"/>
    </row>
    <row r="70" spans="13:20" x14ac:dyDescent="0.2">
      <c r="M70" s="9"/>
      <c r="N70" s="9"/>
      <c r="O70" s="9"/>
      <c r="P70" s="9"/>
      <c r="Q70" s="9"/>
      <c r="R70" s="9"/>
      <c r="S70" s="9"/>
      <c r="T70" s="9"/>
    </row>
    <row r="71" spans="13:20" x14ac:dyDescent="0.2">
      <c r="M71" s="9"/>
      <c r="N71" s="9"/>
      <c r="O71" s="9"/>
      <c r="P71" s="9"/>
      <c r="Q71" s="9"/>
      <c r="R71" s="9"/>
      <c r="S71" s="9"/>
      <c r="T71" s="9"/>
    </row>
    <row r="72" spans="13:20" x14ac:dyDescent="0.2">
      <c r="M72" s="9"/>
      <c r="N72" s="9"/>
      <c r="O72" s="9"/>
      <c r="P72" s="9"/>
      <c r="Q72" s="9"/>
      <c r="R72" s="9"/>
      <c r="S72" s="9"/>
      <c r="T72" s="9"/>
    </row>
    <row r="73" spans="13:20" x14ac:dyDescent="0.2">
      <c r="M73" s="9"/>
      <c r="N73" s="9"/>
      <c r="O73" s="9"/>
      <c r="P73" s="9"/>
      <c r="Q73" s="9"/>
      <c r="R73" s="9"/>
      <c r="S73" s="9"/>
      <c r="T73" s="9"/>
    </row>
    <row r="74" spans="13:20" x14ac:dyDescent="0.2">
      <c r="M74" s="9"/>
      <c r="N74" s="9"/>
      <c r="O74" s="9"/>
      <c r="P74" s="9"/>
      <c r="Q74" s="9"/>
      <c r="R74" s="9"/>
      <c r="S74" s="9"/>
      <c r="T74" s="9"/>
    </row>
    <row r="75" spans="13:20" x14ac:dyDescent="0.2">
      <c r="M75" s="9"/>
      <c r="N75" s="9"/>
      <c r="O75" s="9"/>
      <c r="P75" s="9"/>
      <c r="Q75" s="9"/>
      <c r="R75" s="9"/>
      <c r="S75" s="9"/>
      <c r="T75" s="9"/>
    </row>
    <row r="76" spans="13:20" x14ac:dyDescent="0.2">
      <c r="M76" s="9"/>
      <c r="N76" s="9"/>
      <c r="O76" s="9"/>
      <c r="P76" s="9"/>
      <c r="Q76" s="9"/>
      <c r="R76" s="9"/>
      <c r="S76" s="9"/>
      <c r="T76" s="9"/>
    </row>
    <row r="77" spans="13:20" x14ac:dyDescent="0.2">
      <c r="M77" s="9"/>
      <c r="N77" s="9"/>
      <c r="O77" s="9"/>
      <c r="P77" s="9"/>
      <c r="Q77" s="9"/>
      <c r="R77" s="9"/>
      <c r="S77" s="9"/>
      <c r="T77" s="9"/>
    </row>
    <row r="78" spans="13:20" x14ac:dyDescent="0.2">
      <c r="M78" s="9"/>
      <c r="N78" s="9"/>
      <c r="O78" s="9"/>
      <c r="P78" s="9"/>
      <c r="Q78" s="9"/>
      <c r="R78" s="9"/>
      <c r="S78" s="9"/>
      <c r="T78" s="9"/>
    </row>
    <row r="79" spans="13:20" x14ac:dyDescent="0.2">
      <c r="M79" s="9"/>
      <c r="N79" s="9"/>
      <c r="O79" s="9"/>
      <c r="P79" s="9"/>
      <c r="Q79" s="9"/>
      <c r="R79" s="9"/>
      <c r="S79" s="9"/>
      <c r="T79" s="9"/>
    </row>
    <row r="80" spans="13:20" x14ac:dyDescent="0.2">
      <c r="M80" s="9"/>
      <c r="N80" s="9"/>
      <c r="O80" s="9"/>
      <c r="P80" s="9"/>
      <c r="Q80" s="9"/>
      <c r="R80" s="9"/>
      <c r="S80" s="9"/>
      <c r="T80" s="9"/>
    </row>
    <row r="81" spans="13:20" x14ac:dyDescent="0.2">
      <c r="M81" s="9"/>
      <c r="N81" s="9"/>
      <c r="O81" s="9"/>
      <c r="P81" s="9"/>
      <c r="Q81" s="9"/>
      <c r="R81" s="9"/>
      <c r="S81" s="9"/>
      <c r="T81" s="9"/>
    </row>
    <row r="82" spans="13:20" x14ac:dyDescent="0.2">
      <c r="M82" s="9"/>
      <c r="N82" s="9"/>
      <c r="O82" s="9"/>
      <c r="P82" s="9"/>
      <c r="Q82" s="9"/>
      <c r="R82" s="9"/>
      <c r="S82" s="9"/>
      <c r="T82" s="9"/>
    </row>
    <row r="83" spans="13:20" x14ac:dyDescent="0.2">
      <c r="M83" s="9"/>
      <c r="N83" s="9"/>
      <c r="O83" s="9"/>
      <c r="P83" s="9"/>
      <c r="Q83" s="9"/>
      <c r="R83" s="9"/>
      <c r="S83" s="9"/>
      <c r="T83" s="9"/>
    </row>
    <row r="84" spans="13:20" x14ac:dyDescent="0.2">
      <c r="M84" s="9"/>
      <c r="N84" s="9"/>
      <c r="O84" s="9"/>
      <c r="P84" s="9"/>
      <c r="Q84" s="9"/>
      <c r="R84" s="9"/>
      <c r="S84" s="9"/>
      <c r="T84" s="9"/>
    </row>
    <row r="85" spans="13:20" x14ac:dyDescent="0.2">
      <c r="M85" s="9"/>
      <c r="N85" s="9"/>
      <c r="O85" s="9"/>
      <c r="P85" s="9"/>
      <c r="Q85" s="9"/>
      <c r="R85" s="9"/>
      <c r="S85" s="9"/>
      <c r="T85" s="9"/>
    </row>
    <row r="86" spans="13:20" x14ac:dyDescent="0.2">
      <c r="M86" s="9"/>
      <c r="N86" s="9"/>
      <c r="O86" s="9"/>
      <c r="P86" s="9"/>
      <c r="Q86" s="9"/>
      <c r="R86" s="9"/>
      <c r="S86" s="9"/>
      <c r="T86" s="9"/>
    </row>
    <row r="87" spans="13:20" x14ac:dyDescent="0.2">
      <c r="M87" s="9"/>
      <c r="N87" s="9"/>
      <c r="O87" s="9"/>
      <c r="P87" s="9"/>
      <c r="Q87" s="9"/>
      <c r="R87" s="9"/>
      <c r="S87" s="9"/>
      <c r="T87" s="9"/>
    </row>
    <row r="88" spans="13:20" x14ac:dyDescent="0.2">
      <c r="M88" s="9"/>
      <c r="N88" s="9"/>
      <c r="O88" s="9"/>
      <c r="P88" s="9"/>
      <c r="Q88" s="9"/>
      <c r="R88" s="9"/>
      <c r="S88" s="9"/>
      <c r="T88" s="9"/>
    </row>
    <row r="89" spans="13:20" x14ac:dyDescent="0.2">
      <c r="M89" s="9"/>
      <c r="N89" s="9"/>
      <c r="O89" s="9"/>
      <c r="P89" s="9"/>
      <c r="Q89" s="9"/>
      <c r="R89" s="9"/>
      <c r="S89" s="9"/>
      <c r="T89" s="9"/>
    </row>
    <row r="90" spans="13:20" x14ac:dyDescent="0.2">
      <c r="M90" s="9"/>
      <c r="N90" s="9"/>
      <c r="O90" s="9"/>
      <c r="P90" s="9"/>
      <c r="Q90" s="9"/>
      <c r="R90" s="9"/>
      <c r="S90" s="9"/>
      <c r="T90" s="9"/>
    </row>
    <row r="91" spans="13:20" x14ac:dyDescent="0.2">
      <c r="M91" s="9"/>
      <c r="N91" s="9"/>
      <c r="O91" s="9"/>
      <c r="P91" s="9"/>
      <c r="Q91" s="9"/>
      <c r="R91" s="9"/>
      <c r="S91" s="9"/>
      <c r="T91" s="9"/>
    </row>
    <row r="92" spans="13:20" x14ac:dyDescent="0.2">
      <c r="M92" s="9"/>
      <c r="N92" s="9"/>
      <c r="O92" s="9"/>
      <c r="P92" s="9"/>
      <c r="Q92" s="9"/>
      <c r="R92" s="9"/>
      <c r="S92" s="9"/>
      <c r="T92" s="9"/>
    </row>
    <row r="93" spans="13:20" x14ac:dyDescent="0.2">
      <c r="M93" s="9"/>
      <c r="N93" s="9"/>
      <c r="O93" s="9"/>
      <c r="P93" s="9"/>
      <c r="Q93" s="9"/>
      <c r="R93" s="9"/>
      <c r="S93" s="9"/>
      <c r="T93" s="9"/>
    </row>
    <row r="94" spans="13:20" x14ac:dyDescent="0.2">
      <c r="M94" s="9"/>
      <c r="N94" s="9"/>
      <c r="O94" s="9"/>
      <c r="P94" s="9"/>
      <c r="Q94" s="9"/>
      <c r="R94" s="9"/>
      <c r="S94" s="9"/>
      <c r="T94" s="9"/>
    </row>
    <row r="95" spans="13:20" x14ac:dyDescent="0.2">
      <c r="M95" s="9"/>
      <c r="N95" s="9"/>
      <c r="O95" s="9"/>
      <c r="P95" s="9"/>
      <c r="Q95" s="9"/>
      <c r="R95" s="9"/>
      <c r="S95" s="9"/>
      <c r="T95" s="9"/>
    </row>
    <row r="96" spans="13:20" x14ac:dyDescent="0.2">
      <c r="M96" s="9"/>
      <c r="N96" s="9"/>
      <c r="O96" s="9"/>
      <c r="P96" s="9"/>
      <c r="Q96" s="9"/>
      <c r="R96" s="9"/>
      <c r="S96" s="9"/>
      <c r="T96" s="9"/>
    </row>
    <row r="97" spans="13:20" x14ac:dyDescent="0.2">
      <c r="M97" s="9"/>
      <c r="N97" s="9"/>
      <c r="O97" s="9"/>
      <c r="P97" s="9"/>
      <c r="Q97" s="9"/>
      <c r="R97" s="9"/>
      <c r="S97" s="9"/>
      <c r="T97" s="9"/>
    </row>
    <row r="98" spans="13:20" x14ac:dyDescent="0.2">
      <c r="M98" s="9"/>
      <c r="N98" s="9"/>
      <c r="O98" s="9"/>
      <c r="P98" s="9"/>
      <c r="Q98" s="9"/>
      <c r="R98" s="9"/>
      <c r="S98" s="9"/>
      <c r="T98" s="9"/>
    </row>
    <row r="99" spans="13:20" x14ac:dyDescent="0.2">
      <c r="M99" s="9"/>
      <c r="N99" s="9"/>
      <c r="O99" s="9"/>
      <c r="P99" s="9"/>
      <c r="Q99" s="9"/>
      <c r="R99" s="9"/>
      <c r="S99" s="9"/>
      <c r="T99" s="9"/>
    </row>
    <row r="100" spans="13:20" x14ac:dyDescent="0.2">
      <c r="M100" s="9"/>
      <c r="N100" s="9"/>
      <c r="O100" s="9"/>
      <c r="P100" s="9"/>
      <c r="Q100" s="9"/>
      <c r="R100" s="9"/>
      <c r="S100" s="9"/>
      <c r="T100" s="9"/>
    </row>
    <row r="101" spans="13:20" x14ac:dyDescent="0.2">
      <c r="M101" s="9"/>
      <c r="N101" s="9"/>
      <c r="O101" s="9"/>
      <c r="P101" s="9"/>
      <c r="Q101" s="9"/>
      <c r="R101" s="9"/>
      <c r="S101" s="9"/>
      <c r="T101" s="9"/>
    </row>
    <row r="102" spans="13:20" x14ac:dyDescent="0.2">
      <c r="M102" s="9"/>
      <c r="N102" s="9"/>
      <c r="O102" s="9"/>
      <c r="P102" s="9"/>
      <c r="Q102" s="9"/>
      <c r="R102" s="9"/>
      <c r="S102" s="9"/>
      <c r="T102" s="9"/>
    </row>
    <row r="103" spans="13:20" x14ac:dyDescent="0.2">
      <c r="M103" s="9"/>
      <c r="N103" s="9"/>
      <c r="O103" s="9"/>
      <c r="P103" s="9"/>
      <c r="Q103" s="9"/>
      <c r="R103" s="9"/>
      <c r="S103" s="9"/>
      <c r="T103" s="9"/>
    </row>
    <row r="104" spans="13:20" x14ac:dyDescent="0.2">
      <c r="M104" s="9"/>
      <c r="N104" s="9"/>
      <c r="O104" s="9"/>
      <c r="P104" s="9"/>
      <c r="Q104" s="9"/>
      <c r="R104" s="9"/>
      <c r="S104" s="9"/>
      <c r="T104" s="9"/>
    </row>
    <row r="105" spans="13:20" x14ac:dyDescent="0.2">
      <c r="M105" s="9"/>
      <c r="N105" s="9"/>
      <c r="O105" s="9"/>
      <c r="P105" s="9"/>
      <c r="Q105" s="9"/>
      <c r="R105" s="9"/>
      <c r="S105" s="9"/>
      <c r="T105" s="9"/>
    </row>
    <row r="106" spans="13:20" x14ac:dyDescent="0.2">
      <c r="M106" s="9"/>
      <c r="N106" s="9"/>
      <c r="O106" s="9"/>
      <c r="P106" s="9"/>
      <c r="Q106" s="9"/>
      <c r="R106" s="9"/>
      <c r="S106" s="9"/>
      <c r="T106" s="9"/>
    </row>
    <row r="107" spans="13:20" x14ac:dyDescent="0.2">
      <c r="M107" s="9"/>
      <c r="N107" s="9"/>
      <c r="O107" s="9"/>
      <c r="P107" s="9"/>
      <c r="Q107" s="9"/>
      <c r="R107" s="9"/>
      <c r="S107" s="9"/>
      <c r="T107" s="9"/>
    </row>
    <row r="108" spans="13:20" x14ac:dyDescent="0.2">
      <c r="M108" s="9"/>
      <c r="N108" s="9"/>
      <c r="O108" s="9"/>
      <c r="P108" s="9"/>
      <c r="Q108" s="9"/>
      <c r="R108" s="9"/>
      <c r="S108" s="9"/>
      <c r="T108" s="9"/>
    </row>
    <row r="109" spans="13:20" x14ac:dyDescent="0.2">
      <c r="M109" s="9"/>
      <c r="N109" s="9"/>
      <c r="O109" s="9"/>
      <c r="P109" s="9"/>
      <c r="Q109" s="9"/>
      <c r="R109" s="9"/>
      <c r="S109" s="9"/>
      <c r="T109" s="9"/>
    </row>
    <row r="110" spans="13:20" x14ac:dyDescent="0.2">
      <c r="M110" s="9"/>
      <c r="N110" s="9"/>
      <c r="O110" s="9"/>
      <c r="P110" s="9"/>
      <c r="Q110" s="9"/>
      <c r="R110" s="9"/>
      <c r="S110" s="9"/>
      <c r="T110" s="9"/>
    </row>
    <row r="111" spans="13:20" x14ac:dyDescent="0.2">
      <c r="M111" s="9"/>
      <c r="N111" s="9"/>
      <c r="O111" s="9"/>
      <c r="P111" s="9"/>
      <c r="Q111" s="9"/>
      <c r="R111" s="9"/>
      <c r="S111" s="9"/>
      <c r="T111" s="9"/>
    </row>
    <row r="112" spans="13:20" x14ac:dyDescent="0.2">
      <c r="M112" s="9"/>
      <c r="N112" s="9"/>
      <c r="O112" s="9"/>
      <c r="P112" s="9"/>
      <c r="Q112" s="9"/>
      <c r="R112" s="9"/>
      <c r="S112" s="9"/>
      <c r="T112" s="9"/>
    </row>
    <row r="113" spans="13:20" x14ac:dyDescent="0.2">
      <c r="M113" s="9"/>
      <c r="N113" s="9"/>
      <c r="O113" s="9"/>
      <c r="P113" s="9"/>
      <c r="Q113" s="9"/>
      <c r="R113" s="9"/>
      <c r="S113" s="9"/>
      <c r="T113" s="9"/>
    </row>
    <row r="114" spans="13:20" x14ac:dyDescent="0.2">
      <c r="M114" s="9"/>
      <c r="N114" s="9"/>
      <c r="O114" s="9"/>
      <c r="P114" s="9"/>
      <c r="Q114" s="9"/>
      <c r="R114" s="9"/>
      <c r="S114" s="9"/>
      <c r="T114" s="9"/>
    </row>
    <row r="115" spans="13:20" x14ac:dyDescent="0.2">
      <c r="M115" s="9"/>
      <c r="N115" s="9"/>
      <c r="O115" s="9"/>
      <c r="P115" s="9"/>
      <c r="Q115" s="9"/>
      <c r="R115" s="9"/>
      <c r="S115" s="9"/>
      <c r="T115" s="9"/>
    </row>
    <row r="116" spans="13:20" x14ac:dyDescent="0.2">
      <c r="M116" s="9"/>
      <c r="N116" s="9"/>
      <c r="O116" s="9"/>
      <c r="P116" s="9"/>
      <c r="Q116" s="9"/>
      <c r="R116" s="9"/>
      <c r="S116" s="9"/>
      <c r="T116" s="9"/>
    </row>
    <row r="117" spans="13:20" x14ac:dyDescent="0.2">
      <c r="M117" s="9"/>
      <c r="N117" s="9"/>
      <c r="O117" s="9"/>
      <c r="P117" s="9"/>
      <c r="Q117" s="9"/>
      <c r="R117" s="9"/>
      <c r="S117" s="9"/>
      <c r="T117" s="9"/>
    </row>
    <row r="118" spans="13:20" x14ac:dyDescent="0.2">
      <c r="M118" s="9"/>
      <c r="N118" s="9"/>
      <c r="O118" s="9"/>
      <c r="P118" s="9"/>
      <c r="Q118" s="9"/>
      <c r="R118" s="9"/>
      <c r="S118" s="9"/>
      <c r="T118" s="9"/>
    </row>
    <row r="119" spans="13:20" x14ac:dyDescent="0.2">
      <c r="M119" s="9"/>
      <c r="N119" s="9"/>
      <c r="O119" s="9"/>
      <c r="P119" s="9"/>
      <c r="Q119" s="9"/>
      <c r="R119" s="9"/>
      <c r="S119" s="9"/>
      <c r="T119" s="9"/>
    </row>
    <row r="120" spans="13:20" x14ac:dyDescent="0.2">
      <c r="M120" s="9"/>
      <c r="N120" s="9"/>
      <c r="O120" s="9"/>
      <c r="P120" s="9"/>
      <c r="Q120" s="9"/>
      <c r="R120" s="9"/>
      <c r="S120" s="9"/>
      <c r="T120" s="9"/>
    </row>
    <row r="121" spans="13:20" x14ac:dyDescent="0.2">
      <c r="M121" s="9"/>
      <c r="N121" s="9"/>
      <c r="O121" s="9"/>
      <c r="P121" s="9"/>
      <c r="Q121" s="9"/>
      <c r="R121" s="9"/>
      <c r="S121" s="9"/>
      <c r="T121" s="9"/>
    </row>
    <row r="122" spans="13:20" x14ac:dyDescent="0.2">
      <c r="M122" s="9"/>
      <c r="N122" s="9"/>
      <c r="O122" s="9"/>
      <c r="P122" s="9"/>
      <c r="Q122" s="9"/>
      <c r="R122" s="9"/>
      <c r="S122" s="9"/>
      <c r="T122" s="9"/>
    </row>
    <row r="123" spans="13:20" x14ac:dyDescent="0.2">
      <c r="M123" s="9"/>
      <c r="N123" s="9"/>
      <c r="O123" s="9"/>
      <c r="P123" s="9"/>
      <c r="Q123" s="9"/>
      <c r="R123" s="9"/>
      <c r="S123" s="9"/>
      <c r="T123" s="9"/>
    </row>
    <row r="124" spans="13:20" x14ac:dyDescent="0.2">
      <c r="M124" s="9"/>
      <c r="N124" s="9"/>
      <c r="O124" s="9"/>
      <c r="P124" s="9"/>
      <c r="Q124" s="9"/>
      <c r="R124" s="9"/>
      <c r="S124" s="9"/>
      <c r="T124" s="9"/>
    </row>
    <row r="125" spans="13:20" x14ac:dyDescent="0.2">
      <c r="M125" s="9"/>
      <c r="N125" s="9"/>
      <c r="O125" s="9"/>
      <c r="P125" s="9"/>
      <c r="Q125" s="9"/>
      <c r="R125" s="9"/>
      <c r="S125" s="9"/>
      <c r="T125" s="9"/>
    </row>
    <row r="126" spans="13:20" x14ac:dyDescent="0.2">
      <c r="M126" s="9"/>
      <c r="N126" s="9"/>
      <c r="O126" s="9"/>
      <c r="P126" s="9"/>
      <c r="Q126" s="9"/>
      <c r="R126" s="9"/>
      <c r="S126" s="9"/>
      <c r="T126" s="9"/>
    </row>
    <row r="127" spans="13:20" x14ac:dyDescent="0.2">
      <c r="M127" s="9"/>
      <c r="N127" s="9"/>
      <c r="O127" s="9"/>
      <c r="P127" s="9"/>
      <c r="Q127" s="9"/>
      <c r="R127" s="9"/>
      <c r="S127" s="9"/>
      <c r="T127" s="9"/>
    </row>
    <row r="128" spans="13:20" x14ac:dyDescent="0.2">
      <c r="M128" s="9"/>
      <c r="N128" s="9"/>
      <c r="O128" s="9"/>
      <c r="P128" s="9"/>
      <c r="Q128" s="9"/>
      <c r="R128" s="9"/>
      <c r="S128" s="9"/>
      <c r="T128" s="9"/>
    </row>
    <row r="129" spans="13:20" x14ac:dyDescent="0.2">
      <c r="M129" s="9"/>
      <c r="N129" s="9"/>
      <c r="O129" s="9"/>
      <c r="P129" s="9"/>
      <c r="Q129" s="9"/>
      <c r="R129" s="9"/>
      <c r="S129" s="9"/>
      <c r="T129" s="9"/>
    </row>
    <row r="130" spans="13:20" x14ac:dyDescent="0.2">
      <c r="M130" s="9"/>
      <c r="N130" s="9"/>
      <c r="O130" s="9"/>
      <c r="P130" s="9"/>
      <c r="Q130" s="9"/>
      <c r="R130" s="9"/>
      <c r="S130" s="9"/>
      <c r="T130" s="9"/>
    </row>
    <row r="131" spans="13:20" x14ac:dyDescent="0.2">
      <c r="M131" s="9"/>
      <c r="N131" s="9"/>
      <c r="O131" s="9"/>
      <c r="P131" s="9"/>
      <c r="Q131" s="9"/>
      <c r="R131" s="9"/>
      <c r="S131" s="9"/>
      <c r="T131" s="9"/>
    </row>
    <row r="132" spans="13:20" x14ac:dyDescent="0.2">
      <c r="M132" s="9"/>
      <c r="N132" s="9"/>
      <c r="O132" s="9"/>
      <c r="P132" s="9"/>
      <c r="Q132" s="9"/>
      <c r="R132" s="9"/>
      <c r="S132" s="9"/>
      <c r="T132" s="9"/>
    </row>
    <row r="133" spans="13:20" x14ac:dyDescent="0.2">
      <c r="M133" s="9"/>
      <c r="N133" s="9"/>
      <c r="O133" s="9"/>
      <c r="P133" s="9"/>
      <c r="Q133" s="9"/>
      <c r="R133" s="9"/>
      <c r="S133" s="9"/>
      <c r="T133" s="9"/>
    </row>
    <row r="134" spans="13:20" x14ac:dyDescent="0.2">
      <c r="M134" s="9"/>
      <c r="N134" s="9"/>
      <c r="O134" s="9"/>
      <c r="P134" s="9"/>
      <c r="Q134" s="9"/>
      <c r="R134" s="9"/>
      <c r="S134" s="9"/>
      <c r="T134" s="9"/>
    </row>
    <row r="135" spans="13:20" x14ac:dyDescent="0.2">
      <c r="M135" s="9"/>
      <c r="N135" s="9"/>
      <c r="O135" s="9"/>
      <c r="P135" s="9"/>
      <c r="Q135" s="9"/>
      <c r="R135" s="9"/>
      <c r="S135" s="9"/>
      <c r="T135" s="9"/>
    </row>
    <row r="136" spans="13:20" x14ac:dyDescent="0.2">
      <c r="M136" s="9"/>
      <c r="N136" s="9"/>
      <c r="O136" s="9"/>
      <c r="P136" s="9"/>
      <c r="Q136" s="9"/>
      <c r="R136" s="9"/>
      <c r="S136" s="9"/>
      <c r="T136" s="9"/>
    </row>
    <row r="137" spans="13:20" x14ac:dyDescent="0.2">
      <c r="M137" s="9"/>
      <c r="N137" s="9"/>
      <c r="O137" s="9"/>
      <c r="P137" s="9"/>
      <c r="Q137" s="9"/>
      <c r="R137" s="9"/>
      <c r="S137" s="9"/>
      <c r="T137" s="9"/>
    </row>
    <row r="138" spans="13:20" x14ac:dyDescent="0.2">
      <c r="M138" s="9"/>
      <c r="N138" s="9"/>
      <c r="O138" s="9"/>
      <c r="P138" s="9"/>
      <c r="Q138" s="9"/>
      <c r="R138" s="9"/>
      <c r="S138" s="9"/>
      <c r="T138" s="9"/>
    </row>
    <row r="139" spans="13:20" x14ac:dyDescent="0.2">
      <c r="M139" s="9"/>
      <c r="N139" s="9"/>
      <c r="O139" s="9"/>
      <c r="P139" s="9"/>
      <c r="Q139" s="9"/>
      <c r="R139" s="9"/>
      <c r="S139" s="9"/>
      <c r="T139" s="9"/>
    </row>
    <row r="140" spans="13:20" x14ac:dyDescent="0.2">
      <c r="M140" s="9"/>
      <c r="N140" s="9"/>
      <c r="O140" s="9"/>
      <c r="P140" s="9"/>
      <c r="Q140" s="9"/>
      <c r="R140" s="9"/>
      <c r="S140" s="9"/>
      <c r="T140" s="9"/>
    </row>
    <row r="141" spans="13:20" x14ac:dyDescent="0.2">
      <c r="M141" s="9"/>
      <c r="N141" s="9"/>
      <c r="O141" s="9"/>
      <c r="P141" s="9"/>
      <c r="Q141" s="9"/>
      <c r="R141" s="9"/>
      <c r="S141" s="9"/>
      <c r="T141" s="9"/>
    </row>
    <row r="142" spans="13:20" x14ac:dyDescent="0.2">
      <c r="M142" s="9"/>
      <c r="N142" s="9"/>
      <c r="O142" s="9"/>
      <c r="P142" s="9"/>
      <c r="Q142" s="9"/>
      <c r="R142" s="9"/>
      <c r="S142" s="9"/>
      <c r="T142" s="9"/>
    </row>
    <row r="143" spans="13:20" x14ac:dyDescent="0.2">
      <c r="M143" s="9"/>
      <c r="N143" s="9"/>
      <c r="O143" s="9"/>
      <c r="P143" s="9"/>
      <c r="Q143" s="9"/>
      <c r="R143" s="9"/>
      <c r="S143" s="9"/>
      <c r="T143" s="9"/>
    </row>
    <row r="144" spans="13:20" x14ac:dyDescent="0.2">
      <c r="M144" s="9"/>
      <c r="N144" s="9"/>
      <c r="O144" s="9"/>
      <c r="P144" s="9"/>
      <c r="Q144" s="9"/>
      <c r="R144" s="9"/>
      <c r="S144" s="9"/>
      <c r="T144" s="9"/>
    </row>
    <row r="145" spans="13:20" x14ac:dyDescent="0.2">
      <c r="M145" s="9"/>
      <c r="N145" s="9"/>
      <c r="O145" s="9"/>
      <c r="P145" s="9"/>
      <c r="Q145" s="9"/>
      <c r="R145" s="9"/>
      <c r="S145" s="9"/>
      <c r="T145" s="9"/>
    </row>
    <row r="146" spans="13:20" x14ac:dyDescent="0.2">
      <c r="M146" s="9"/>
      <c r="N146" s="9"/>
      <c r="O146" s="9"/>
      <c r="P146" s="9"/>
      <c r="Q146" s="9"/>
      <c r="R146" s="9"/>
      <c r="S146" s="9"/>
      <c r="T146" s="9"/>
    </row>
    <row r="147" spans="13:20" x14ac:dyDescent="0.2">
      <c r="M147" s="9"/>
      <c r="N147" s="9"/>
      <c r="O147" s="9"/>
      <c r="P147" s="9"/>
      <c r="Q147" s="9"/>
      <c r="R147" s="9"/>
      <c r="S147" s="9"/>
      <c r="T147" s="9"/>
    </row>
    <row r="148" spans="13:20" x14ac:dyDescent="0.2">
      <c r="M148" s="9"/>
      <c r="N148" s="9"/>
      <c r="O148" s="9"/>
      <c r="P148" s="9"/>
      <c r="Q148" s="9"/>
      <c r="R148" s="9"/>
      <c r="S148" s="9"/>
      <c r="T148" s="9"/>
    </row>
    <row r="149" spans="13:20" x14ac:dyDescent="0.2">
      <c r="M149" s="9"/>
      <c r="N149" s="9"/>
      <c r="O149" s="9"/>
      <c r="P149" s="9"/>
      <c r="Q149" s="9"/>
      <c r="R149" s="9"/>
      <c r="S149" s="9"/>
      <c r="T149" s="9"/>
    </row>
    <row r="150" spans="13:20" x14ac:dyDescent="0.2">
      <c r="M150" s="9"/>
      <c r="N150" s="9"/>
      <c r="O150" s="9"/>
      <c r="P150" s="9"/>
      <c r="Q150" s="9"/>
      <c r="R150" s="9"/>
      <c r="S150" s="9"/>
      <c r="T150" s="9"/>
    </row>
    <row r="151" spans="13:20" x14ac:dyDescent="0.2">
      <c r="M151" s="9"/>
      <c r="N151" s="9"/>
      <c r="O151" s="9"/>
      <c r="P151" s="9"/>
      <c r="Q151" s="9"/>
      <c r="R151" s="9"/>
      <c r="S151" s="9"/>
      <c r="T151" s="9"/>
    </row>
    <row r="152" spans="13:20" x14ac:dyDescent="0.2">
      <c r="M152" s="9"/>
      <c r="N152" s="9"/>
      <c r="O152" s="9"/>
      <c r="P152" s="9"/>
      <c r="Q152" s="9"/>
      <c r="R152" s="9"/>
      <c r="S152" s="9"/>
      <c r="T152" s="9"/>
    </row>
    <row r="153" spans="13:20" x14ac:dyDescent="0.2">
      <c r="M153" s="9"/>
      <c r="N153" s="9"/>
      <c r="O153" s="9"/>
      <c r="P153" s="9"/>
      <c r="Q153" s="9"/>
      <c r="R153" s="9"/>
      <c r="S153" s="9"/>
      <c r="T153" s="9"/>
    </row>
    <row r="154" spans="13:20" x14ac:dyDescent="0.2">
      <c r="M154" s="9"/>
      <c r="N154" s="9"/>
      <c r="O154" s="9"/>
      <c r="P154" s="9"/>
      <c r="Q154" s="9"/>
      <c r="R154" s="9"/>
      <c r="S154" s="9"/>
      <c r="T154" s="9"/>
    </row>
    <row r="155" spans="13:20" x14ac:dyDescent="0.2">
      <c r="M155" s="9"/>
      <c r="N155" s="9"/>
      <c r="O155" s="9"/>
      <c r="P155" s="9"/>
      <c r="Q155" s="9"/>
      <c r="R155" s="9"/>
      <c r="S155" s="9"/>
      <c r="T155" s="9"/>
    </row>
    <row r="156" spans="13:20" x14ac:dyDescent="0.2">
      <c r="M156" s="9"/>
      <c r="N156" s="9"/>
      <c r="O156" s="9"/>
      <c r="P156" s="9"/>
      <c r="Q156" s="9"/>
      <c r="R156" s="9"/>
      <c r="S156" s="9"/>
      <c r="T156" s="9"/>
    </row>
    <row r="157" spans="13:20" x14ac:dyDescent="0.2">
      <c r="M157" s="9"/>
      <c r="N157" s="9"/>
      <c r="O157" s="9"/>
      <c r="P157" s="9"/>
      <c r="Q157" s="9"/>
      <c r="R157" s="9"/>
      <c r="S157" s="9"/>
      <c r="T157" s="9"/>
    </row>
    <row r="158" spans="13:20" x14ac:dyDescent="0.2">
      <c r="M158" s="9"/>
      <c r="N158" s="9"/>
      <c r="O158" s="9"/>
      <c r="P158" s="9"/>
      <c r="Q158" s="9"/>
      <c r="R158" s="9"/>
      <c r="S158" s="9"/>
      <c r="T158" s="9"/>
    </row>
    <row r="159" spans="13:20" x14ac:dyDescent="0.2">
      <c r="M159" s="9"/>
      <c r="N159" s="9"/>
      <c r="O159" s="9"/>
      <c r="P159" s="9"/>
      <c r="Q159" s="9"/>
      <c r="R159" s="9"/>
      <c r="S159" s="9"/>
      <c r="T159" s="9"/>
    </row>
    <row r="160" spans="13:20" x14ac:dyDescent="0.2">
      <c r="M160" s="9"/>
      <c r="N160" s="9"/>
      <c r="O160" s="9"/>
      <c r="P160" s="9"/>
      <c r="Q160" s="9"/>
      <c r="R160" s="9"/>
      <c r="S160" s="9"/>
      <c r="T160" s="9"/>
    </row>
    <row r="161" spans="13:20" x14ac:dyDescent="0.2">
      <c r="M161" s="9"/>
      <c r="N161" s="9"/>
      <c r="O161" s="9"/>
      <c r="P161" s="9"/>
      <c r="Q161" s="9"/>
      <c r="R161" s="9"/>
      <c r="S161" s="9"/>
      <c r="T161" s="9"/>
    </row>
    <row r="162" spans="13:20" x14ac:dyDescent="0.2">
      <c r="M162" s="9"/>
      <c r="N162" s="9"/>
      <c r="O162" s="9"/>
      <c r="P162" s="9"/>
      <c r="Q162" s="9"/>
      <c r="R162" s="9"/>
      <c r="S162" s="9"/>
      <c r="T162" s="9"/>
    </row>
    <row r="163" spans="13:20" x14ac:dyDescent="0.2">
      <c r="M163" s="9"/>
      <c r="N163" s="9"/>
      <c r="O163" s="9"/>
      <c r="P163" s="9"/>
      <c r="Q163" s="9"/>
      <c r="R163" s="9"/>
      <c r="S163" s="9"/>
      <c r="T163" s="9"/>
    </row>
    <row r="164" spans="13:20" x14ac:dyDescent="0.2">
      <c r="M164" s="9"/>
      <c r="N164" s="9"/>
      <c r="O164" s="9"/>
      <c r="P164" s="9"/>
      <c r="Q164" s="9"/>
      <c r="R164" s="9"/>
      <c r="S164" s="9"/>
      <c r="T164" s="9"/>
    </row>
    <row r="165" spans="13:20" x14ac:dyDescent="0.2">
      <c r="M165" s="9"/>
      <c r="N165" s="9"/>
      <c r="O165" s="9"/>
      <c r="P165" s="9"/>
      <c r="Q165" s="9"/>
      <c r="R165" s="9"/>
      <c r="S165" s="9"/>
      <c r="T165" s="9"/>
    </row>
    <row r="166" spans="13:20" x14ac:dyDescent="0.2">
      <c r="M166" s="9"/>
      <c r="N166" s="9"/>
      <c r="O166" s="9"/>
      <c r="P166" s="9"/>
      <c r="Q166" s="9"/>
      <c r="R166" s="9"/>
      <c r="S166" s="9"/>
      <c r="T166" s="9"/>
    </row>
    <row r="167" spans="13:20" x14ac:dyDescent="0.2">
      <c r="M167" s="9"/>
      <c r="N167" s="9"/>
      <c r="O167" s="9"/>
      <c r="P167" s="9"/>
      <c r="Q167" s="9"/>
      <c r="R167" s="9"/>
      <c r="S167" s="9"/>
      <c r="T167" s="9"/>
    </row>
    <row r="168" spans="13:20" x14ac:dyDescent="0.2">
      <c r="M168" s="9"/>
      <c r="N168" s="9"/>
      <c r="O168" s="9"/>
      <c r="P168" s="9"/>
      <c r="Q168" s="9"/>
      <c r="R168" s="9"/>
      <c r="S168" s="9"/>
      <c r="T168" s="9"/>
    </row>
    <row r="169" spans="13:20" x14ac:dyDescent="0.2">
      <c r="M169" s="9"/>
      <c r="N169" s="9"/>
      <c r="O169" s="9"/>
      <c r="P169" s="9"/>
      <c r="Q169" s="9"/>
      <c r="R169" s="9"/>
      <c r="S169" s="9"/>
      <c r="T169" s="9"/>
    </row>
    <row r="170" spans="13:20" x14ac:dyDescent="0.2">
      <c r="M170" s="9"/>
      <c r="N170" s="9"/>
      <c r="O170" s="9"/>
      <c r="P170" s="9"/>
      <c r="Q170" s="9"/>
      <c r="R170" s="9"/>
      <c r="S170" s="9"/>
      <c r="T170" s="9"/>
    </row>
    <row r="171" spans="13:20" x14ac:dyDescent="0.2">
      <c r="M171" s="9"/>
      <c r="N171" s="9"/>
      <c r="O171" s="9"/>
      <c r="P171" s="9"/>
      <c r="Q171" s="9"/>
      <c r="R171" s="9"/>
      <c r="S171" s="9"/>
      <c r="T171" s="9"/>
    </row>
    <row r="172" spans="13:20" x14ac:dyDescent="0.2">
      <c r="M172" s="9"/>
      <c r="N172" s="9"/>
      <c r="O172" s="9"/>
      <c r="P172" s="9"/>
      <c r="Q172" s="9"/>
      <c r="R172" s="9"/>
      <c r="S172" s="9"/>
      <c r="T172" s="9"/>
    </row>
    <row r="173" spans="13:20" x14ac:dyDescent="0.2">
      <c r="M173" s="9"/>
      <c r="N173" s="9"/>
      <c r="O173" s="9"/>
      <c r="P173" s="9"/>
      <c r="Q173" s="9"/>
      <c r="R173" s="9"/>
      <c r="S173" s="9"/>
      <c r="T173" s="9"/>
    </row>
    <row r="174" spans="13:20" x14ac:dyDescent="0.2">
      <c r="M174" s="9"/>
      <c r="N174" s="9"/>
      <c r="O174" s="9"/>
      <c r="P174" s="9"/>
      <c r="Q174" s="9"/>
      <c r="R174" s="9"/>
      <c r="S174" s="9"/>
      <c r="T174" s="9"/>
    </row>
    <row r="175" spans="13:20" x14ac:dyDescent="0.2">
      <c r="M175" s="9"/>
      <c r="N175" s="9"/>
      <c r="O175" s="9"/>
      <c r="P175" s="9"/>
      <c r="Q175" s="9"/>
      <c r="R175" s="9"/>
      <c r="S175" s="9"/>
      <c r="T175" s="9"/>
    </row>
    <row r="176" spans="13:20" x14ac:dyDescent="0.2">
      <c r="M176" s="9"/>
      <c r="N176" s="9"/>
      <c r="O176" s="9"/>
      <c r="P176" s="9"/>
      <c r="Q176" s="9"/>
      <c r="R176" s="9"/>
      <c r="S176" s="9"/>
      <c r="T176" s="9"/>
    </row>
    <row r="177" spans="13:20" x14ac:dyDescent="0.2">
      <c r="M177" s="9"/>
      <c r="N177" s="9"/>
      <c r="O177" s="9"/>
      <c r="P177" s="9"/>
      <c r="Q177" s="9"/>
      <c r="R177" s="9"/>
      <c r="S177" s="9"/>
      <c r="T177" s="9"/>
    </row>
    <row r="178" spans="13:20" x14ac:dyDescent="0.2">
      <c r="M178" s="9"/>
      <c r="N178" s="9"/>
      <c r="O178" s="9"/>
      <c r="P178" s="9"/>
      <c r="Q178" s="9"/>
      <c r="R178" s="9"/>
      <c r="S178" s="9"/>
      <c r="T178" s="9"/>
    </row>
    <row r="179" spans="13:20" x14ac:dyDescent="0.2">
      <c r="M179" s="9"/>
      <c r="N179" s="9"/>
      <c r="O179" s="9"/>
      <c r="P179" s="9"/>
      <c r="Q179" s="9"/>
      <c r="R179" s="9"/>
      <c r="S179" s="9"/>
      <c r="T179" s="9"/>
    </row>
    <row r="180" spans="13:20" x14ac:dyDescent="0.2">
      <c r="M180" s="9"/>
      <c r="N180" s="9"/>
      <c r="O180" s="9"/>
      <c r="P180" s="9"/>
      <c r="Q180" s="9"/>
      <c r="R180" s="9"/>
      <c r="S180" s="9"/>
      <c r="T180" s="9"/>
    </row>
    <row r="181" spans="13:20" x14ac:dyDescent="0.2">
      <c r="M181" s="9"/>
      <c r="N181" s="9"/>
      <c r="O181" s="9"/>
      <c r="P181" s="9"/>
      <c r="Q181" s="9"/>
      <c r="R181" s="9"/>
      <c r="S181" s="9"/>
      <c r="T181" s="9"/>
    </row>
    <row r="182" spans="13:20" x14ac:dyDescent="0.2">
      <c r="M182" s="9"/>
      <c r="N182" s="9"/>
      <c r="O182" s="9"/>
      <c r="P182" s="9"/>
      <c r="Q182" s="9"/>
      <c r="R182" s="9"/>
      <c r="S182" s="9"/>
      <c r="T182" s="9"/>
    </row>
    <row r="183" spans="13:20" x14ac:dyDescent="0.2">
      <c r="M183" s="9"/>
      <c r="N183" s="9"/>
      <c r="O183" s="9"/>
      <c r="P183" s="9"/>
      <c r="Q183" s="9"/>
      <c r="R183" s="9"/>
      <c r="S183" s="9"/>
      <c r="T183" s="9"/>
    </row>
    <row r="184" spans="13:20" x14ac:dyDescent="0.2">
      <c r="M184" s="9"/>
      <c r="N184" s="9"/>
      <c r="O184" s="9"/>
      <c r="P184" s="9"/>
      <c r="Q184" s="9"/>
      <c r="R184" s="9"/>
      <c r="S184" s="9"/>
      <c r="T184" s="9"/>
    </row>
    <row r="185" spans="13:20" x14ac:dyDescent="0.2">
      <c r="M185" s="9"/>
      <c r="N185" s="9"/>
      <c r="O185" s="9"/>
      <c r="P185" s="9"/>
      <c r="Q185" s="9"/>
      <c r="R185" s="9"/>
      <c r="S185" s="9"/>
      <c r="T185" s="9"/>
    </row>
    <row r="186" spans="13:20" x14ac:dyDescent="0.2">
      <c r="M186" s="9"/>
      <c r="N186" s="9"/>
      <c r="O186" s="9"/>
      <c r="P186" s="9"/>
      <c r="Q186" s="9"/>
      <c r="R186" s="9"/>
      <c r="S186" s="9"/>
      <c r="T186" s="9"/>
    </row>
    <row r="187" spans="13:20" x14ac:dyDescent="0.2">
      <c r="M187" s="9"/>
      <c r="N187" s="9"/>
      <c r="O187" s="9"/>
      <c r="P187" s="9"/>
      <c r="Q187" s="9"/>
      <c r="R187" s="9"/>
      <c r="S187" s="9"/>
      <c r="T187" s="9"/>
    </row>
    <row r="188" spans="13:20" x14ac:dyDescent="0.2">
      <c r="M188" s="9"/>
      <c r="N188" s="9"/>
      <c r="O188" s="9"/>
      <c r="P188" s="9"/>
      <c r="Q188" s="9"/>
      <c r="R188" s="9"/>
      <c r="S188" s="9"/>
      <c r="T188" s="9"/>
    </row>
    <row r="189" spans="13:20" x14ac:dyDescent="0.2">
      <c r="M189" s="9"/>
      <c r="N189" s="9"/>
      <c r="O189" s="9"/>
      <c r="P189" s="9"/>
      <c r="Q189" s="9"/>
      <c r="R189" s="9"/>
      <c r="S189" s="9"/>
      <c r="T189" s="9"/>
    </row>
    <row r="190" spans="13:20" x14ac:dyDescent="0.2">
      <c r="M190" s="9"/>
      <c r="N190" s="9"/>
      <c r="O190" s="9"/>
      <c r="P190" s="9"/>
      <c r="Q190" s="9"/>
      <c r="R190" s="9"/>
      <c r="S190" s="9"/>
      <c r="T190" s="9"/>
    </row>
    <row r="191" spans="13:20" x14ac:dyDescent="0.2">
      <c r="M191" s="9"/>
      <c r="N191" s="9"/>
      <c r="O191" s="9"/>
      <c r="P191" s="9"/>
      <c r="Q191" s="9"/>
      <c r="R191" s="9"/>
      <c r="S191" s="9"/>
      <c r="T191" s="9"/>
    </row>
    <row r="192" spans="13:20" x14ac:dyDescent="0.2">
      <c r="M192" s="9"/>
      <c r="N192" s="9"/>
      <c r="O192" s="9"/>
      <c r="P192" s="9"/>
      <c r="Q192" s="9"/>
      <c r="R192" s="9"/>
      <c r="S192" s="9"/>
      <c r="T192" s="9"/>
    </row>
    <row r="193" spans="13:20" x14ac:dyDescent="0.2">
      <c r="M193" s="9"/>
      <c r="N193" s="9"/>
      <c r="O193" s="9"/>
      <c r="P193" s="9"/>
      <c r="Q193" s="9"/>
      <c r="R193" s="9"/>
      <c r="S193" s="9"/>
      <c r="T193" s="9"/>
    </row>
    <row r="194" spans="13:20" x14ac:dyDescent="0.2">
      <c r="M194" s="9"/>
      <c r="N194" s="9"/>
      <c r="O194" s="9"/>
      <c r="P194" s="9"/>
      <c r="Q194" s="9"/>
      <c r="R194" s="9"/>
      <c r="S194" s="9"/>
      <c r="T194" s="9"/>
    </row>
    <row r="195" spans="13:20" x14ac:dyDescent="0.2">
      <c r="M195" s="9"/>
      <c r="N195" s="9"/>
      <c r="O195" s="9"/>
      <c r="P195" s="9"/>
      <c r="Q195" s="9"/>
      <c r="R195" s="9"/>
      <c r="S195" s="9"/>
      <c r="T195" s="9"/>
    </row>
    <row r="196" spans="13:20" x14ac:dyDescent="0.2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Doda</dc:creator>
  <cp:lastModifiedBy>Microsoft Office User</cp:lastModifiedBy>
  <dcterms:created xsi:type="dcterms:W3CDTF">2011-04-08T12:42:53Z</dcterms:created>
  <dcterms:modified xsi:type="dcterms:W3CDTF">2020-08-30T16:13:26Z</dcterms:modified>
</cp:coreProperties>
</file>